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bookViews>
  <sheets>
    <sheet name="Creating a Quote" sheetId="5" r:id="rId1"/>
    <sheet name="Configure Products" sheetId="1" r:id="rId2"/>
    <sheet name="Quotation" sheetId="3" r:id="rId3"/>
    <sheet name="Skews" sheetId="4" r:id="rId4"/>
    <sheet name="US List Prices" sheetId="2" r:id="rId5"/>
  </sheets>
  <calcPr calcId="125725"/>
</workbook>
</file>

<file path=xl/calcChain.xml><?xml version="1.0" encoding="utf-8"?>
<calcChain xmlns="http://schemas.openxmlformats.org/spreadsheetml/2006/main">
  <c r="B19" i="3"/>
  <c r="D33" i="1"/>
  <c r="C75" i="4"/>
  <c r="D74"/>
  <c r="D75" s="1"/>
  <c r="D24" i="1"/>
  <c r="H24"/>
  <c r="G24"/>
  <c r="F24"/>
  <c r="H22"/>
  <c r="G22"/>
  <c r="D12"/>
  <c r="C83" i="4"/>
  <c r="D111"/>
  <c r="D110"/>
  <c r="C97"/>
  <c r="C96"/>
  <c r="D96" s="1"/>
  <c r="C95"/>
  <c r="C92"/>
  <c r="C106" s="1"/>
  <c r="D82"/>
  <c r="D83" s="1"/>
  <c r="C79"/>
  <c r="D78"/>
  <c r="D79" s="1"/>
  <c r="C71"/>
  <c r="D70"/>
  <c r="D71" s="1"/>
  <c r="C67"/>
  <c r="D66"/>
  <c r="D67" s="1"/>
  <c r="D49"/>
  <c r="C49"/>
  <c r="D33"/>
  <c r="C33"/>
  <c r="C26"/>
  <c r="C62" s="1"/>
  <c r="C25"/>
  <c r="C61" s="1"/>
  <c r="C24"/>
  <c r="C60" s="1"/>
  <c r="C23"/>
  <c r="C59" s="1"/>
  <c r="C22"/>
  <c r="C58" s="1"/>
  <c r="C21"/>
  <c r="C57" s="1"/>
  <c r="C20"/>
  <c r="C56" s="1"/>
  <c r="C19"/>
  <c r="C55" s="1"/>
  <c r="C18"/>
  <c r="C54" s="1"/>
  <c r="C17"/>
  <c r="C53" s="1"/>
  <c r="C16"/>
  <c r="C52" s="1"/>
  <c r="C15"/>
  <c r="C51" s="1"/>
  <c r="C14"/>
  <c r="C50" s="1"/>
  <c r="C11"/>
  <c r="D11" s="1"/>
  <c r="C10"/>
  <c r="D10" s="1"/>
  <c r="G33" i="1" l="1"/>
  <c r="H33"/>
  <c r="F33"/>
  <c r="D15" i="4"/>
  <c r="D17"/>
  <c r="D19"/>
  <c r="D21"/>
  <c r="D23"/>
  <c r="D25"/>
  <c r="C35"/>
  <c r="C37"/>
  <c r="C39"/>
  <c r="C41"/>
  <c r="C43"/>
  <c r="C45"/>
  <c r="D95"/>
  <c r="D97"/>
  <c r="C101"/>
  <c r="C103"/>
  <c r="C105"/>
  <c r="C107"/>
  <c r="D14"/>
  <c r="D16"/>
  <c r="D18"/>
  <c r="D20"/>
  <c r="D22"/>
  <c r="D24"/>
  <c r="D26"/>
  <c r="C34"/>
  <c r="C36"/>
  <c r="C38"/>
  <c r="C40"/>
  <c r="C42"/>
  <c r="C44"/>
  <c r="C46"/>
  <c r="D92"/>
  <c r="C100"/>
  <c r="C102"/>
  <c r="C104"/>
  <c r="D106" l="1"/>
  <c r="D104"/>
  <c r="D102"/>
  <c r="D100"/>
  <c r="D107"/>
  <c r="D105"/>
  <c r="D103"/>
  <c r="D101"/>
  <c r="D62"/>
  <c r="D46"/>
  <c r="D58"/>
  <c r="D42"/>
  <c r="D54"/>
  <c r="D38"/>
  <c r="D50"/>
  <c r="D34"/>
  <c r="D61"/>
  <c r="D45"/>
  <c r="D59"/>
  <c r="D43"/>
  <c r="D57"/>
  <c r="D41"/>
  <c r="D55"/>
  <c r="D39"/>
  <c r="D53"/>
  <c r="D37"/>
  <c r="D51"/>
  <c r="D35"/>
  <c r="D60"/>
  <c r="D44"/>
  <c r="D56"/>
  <c r="D40"/>
  <c r="D52"/>
  <c r="D36"/>
  <c r="D14" i="1" l="1"/>
  <c r="D13"/>
  <c r="D32"/>
  <c r="G32" s="1"/>
  <c r="D31"/>
  <c r="H31" s="1"/>
  <c r="D30"/>
  <c r="H30" s="1"/>
  <c r="D28"/>
  <c r="F28" s="1"/>
  <c r="D29"/>
  <c r="B34" i="3"/>
  <c r="D34"/>
  <c r="B33"/>
  <c r="D33"/>
  <c r="D32"/>
  <c r="B32"/>
  <c r="B31"/>
  <c r="D31"/>
  <c r="D30"/>
  <c r="H29" i="1"/>
  <c r="D25"/>
  <c r="B35" i="3"/>
  <c r="B30"/>
  <c r="D35"/>
  <c r="H28" i="1" l="1"/>
  <c r="D27"/>
  <c r="F32"/>
  <c r="H32"/>
  <c r="F31"/>
  <c r="G31"/>
  <c r="G30"/>
  <c r="F30"/>
  <c r="F29"/>
  <c r="G29"/>
  <c r="G28"/>
  <c r="C27"/>
  <c r="B39" i="3"/>
  <c r="B38"/>
  <c r="B37"/>
  <c r="G28"/>
  <c r="D28"/>
  <c r="B28"/>
  <c r="G27"/>
  <c r="D27"/>
  <c r="D26"/>
  <c r="B27"/>
  <c r="G22"/>
  <c r="D22"/>
  <c r="B22"/>
  <c r="B23"/>
  <c r="H27" i="1" l="1"/>
  <c r="G27"/>
  <c r="F27"/>
  <c r="B24" i="3"/>
  <c r="D25" l="1"/>
  <c r="D24"/>
  <c r="D23"/>
  <c r="G26"/>
  <c r="B26"/>
  <c r="G25"/>
  <c r="B25"/>
  <c r="G24"/>
  <c r="G23"/>
  <c r="H9" l="1"/>
  <c r="H6"/>
  <c r="H5"/>
  <c r="H26" i="1"/>
  <c r="H25"/>
  <c r="H23"/>
  <c r="H20"/>
  <c r="H19"/>
  <c r="G26"/>
  <c r="G25"/>
  <c r="G23"/>
  <c r="G20"/>
  <c r="G19"/>
  <c r="H35" i="3"/>
  <c r="H29"/>
  <c r="F26" i="1"/>
  <c r="F25"/>
  <c r="H25" i="3" s="1"/>
  <c r="F23" i="1"/>
  <c r="H24" i="3" s="1"/>
  <c r="F22" i="1"/>
  <c r="F20"/>
  <c r="F19"/>
  <c r="H18"/>
  <c r="D19"/>
  <c r="D20"/>
  <c r="H34" l="1"/>
  <c r="H39" s="1"/>
  <c r="H26" i="3"/>
  <c r="H23"/>
  <c r="H27"/>
  <c r="H28"/>
  <c r="G18" i="1"/>
  <c r="G34" s="1"/>
  <c r="G39" s="1"/>
  <c r="D18"/>
  <c r="F18"/>
  <c r="E15" i="2"/>
  <c r="E14"/>
  <c r="H22" i="3" l="1"/>
  <c r="F34" i="1"/>
  <c r="F39" s="1"/>
  <c r="H37"/>
  <c r="H38"/>
  <c r="G37"/>
  <c r="G38"/>
  <c r="D26"/>
  <c r="D23"/>
  <c r="D22"/>
  <c r="F37" l="1"/>
  <c r="H37" i="3" s="1"/>
  <c r="F38" i="1"/>
  <c r="H38" i="3" s="1"/>
  <c r="D34" i="1"/>
  <c r="D37" s="1"/>
  <c r="H40"/>
  <c r="H39" i="3"/>
  <c r="G40" i="1"/>
  <c r="D39"/>
  <c r="H41" i="3" l="1"/>
  <c r="F40" i="1"/>
  <c r="D38"/>
  <c r="D40"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7" authorId="2">
      <text>
        <r>
          <rPr>
            <b/>
            <sz val="9"/>
            <color indexed="81"/>
            <rFont val="Tahoma"/>
            <family val="2"/>
          </rPr>
          <t>Bill:</t>
        </r>
        <r>
          <rPr>
            <sz val="9"/>
            <color indexed="81"/>
            <rFont val="Tahoma"/>
            <family val="2"/>
          </rPr>
          <t xml:space="preserve">
Additional Year of SMS. Base License comes with 1st Year.</t>
        </r>
      </text>
    </comment>
    <comment ref="C37"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8" authorId="2">
      <text>
        <r>
          <rPr>
            <b/>
            <sz val="9"/>
            <color indexed="81"/>
            <rFont val="Tahoma"/>
            <family val="2"/>
          </rPr>
          <t>Bill:</t>
        </r>
        <r>
          <rPr>
            <sz val="9"/>
            <color indexed="81"/>
            <rFont val="Tahoma"/>
            <family val="2"/>
          </rPr>
          <t xml:space="preserve">
Phone Support is NOT included in Base License</t>
        </r>
      </text>
    </comment>
    <comment ref="C38" authorId="1">
      <text>
        <r>
          <rPr>
            <b/>
            <sz val="8"/>
            <color indexed="81"/>
            <rFont val="Tahoma"/>
            <family val="2"/>
          </rPr>
          <t>dgibson:</t>
        </r>
        <r>
          <rPr>
            <sz val="8"/>
            <color indexed="81"/>
            <rFont val="Tahoma"/>
            <family val="2"/>
          </rPr>
          <t xml:space="preserve">
If you desire Phone support enter "1" here, this is for 1 year of support</t>
        </r>
      </text>
    </comment>
    <comment ref="C39"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<sst xmlns="http://schemas.openxmlformats.org/spreadsheetml/2006/main" count="446" uniqueCount="310">
  <si>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</si>
  <si>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</si>
  <si>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</si>
  <si>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</si>
  <si>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</si>
  <si>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</si>
  <si>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</si>
  <si>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</si>
  <si>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</si>
  <si>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</si>
  <si>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</si>
  <si>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</si>
  <si>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</si>
  <si>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</si>
  <si>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</si>
  <si>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</si>
  <si>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</si>
  <si>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</si>
  <si>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</si>
  <si>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</si>
  <si>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</si>
  <si>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</si>
  <si>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</si>
  <si>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</si>
  <si>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</si>
  <si>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</si>
  <si>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</si>
  <si>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</si>
  <si>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</si>
  <si>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</si>
  <si>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</si>
  <si>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</si>
  <si>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</si>
  <si>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</si>
  <si>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</si>
  <si>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</si>
  <si>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</si>
  <si>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</si>
  <si>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</si>
  <si>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</si>
  <si>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</si>
  <si>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</si>
  <si>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</si>
  <si>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</si>
  <si>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</si>
  <si>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</si>
  <si>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Double Precision Linear Algebra</t>
  </si>
  <si>
    <t>Multiple GPUs workstations - 2 to 8 GPUs</t>
  </si>
  <si>
    <t>Multiple GPUs clusters - 8+ GPUs</t>
  </si>
  <si>
    <t>1 year of software updates - 10% of license fees</t>
  </si>
  <si>
    <t>Phone Support</t>
  </si>
  <si>
    <t>1 year of phone support - 20% of license fees</t>
  </si>
  <si>
    <t>Services &amp; Support</t>
  </si>
  <si>
    <t>NOTE:</t>
  </si>
  <si>
    <t>Discount Schedule</t>
  </si>
  <si>
    <t>Discounts</t>
  </si>
  <si>
    <t>Academic</t>
  </si>
  <si>
    <t>Base, DLA, SDK, 4 GPUs</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</si>
  <si>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</si>
  <si>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</si>
  <si>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</si>
  <si>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</si>
  <si>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</si>
  <si>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</si>
  <si>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</si>
  <si>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</si>
  <si>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</si>
  <si>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</si>
  <si>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</si>
  <si>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</si>
  <si>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</si>
  <si>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</si>
  <si>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</si>
  <si>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</si>
  <si>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</si>
  <si>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</si>
  <si>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</si>
  <si>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</si>
  <si>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</si>
  <si>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</si>
  <si>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</si>
  <si>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All pricing in US Dollars</t>
  </si>
  <si>
    <t>List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</si>
  <si>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</si>
  <si>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</si>
  <si>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</si>
  <si>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</si>
  <si>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</si>
  <si>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</si>
  <si>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</si>
  <si>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</si>
  <si>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</si>
  <si>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</si>
  <si>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</si>
  <si>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</si>
  <si>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</si>
  <si>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</si>
  <si>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</si>
  <si>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</si>
  <si>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</si>
  <si>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</si>
  <si>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</si>
  <si>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</si>
  <si>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</si>
  <si>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</si>
  <si>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</si>
  <si>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</si>
  <si>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</si>
  <si>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</si>
  <si>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</si>
  <si>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</si>
  <si>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</si>
  <si>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</si>
  <si>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</si>
  <si>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</si>
  <si>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</si>
  <si>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</si>
  <si>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</si>
  <si>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</si>
  <si>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</si>
  <si>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</si>
  <si>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</si>
  <si>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</si>
  <si>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</si>
  <si>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</si>
  <si>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</si>
  <si>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</si>
  <si>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</si>
  <si>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</si>
  <si>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</si>
  <si>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</si>
  <si>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</si>
  <si>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</si>
  <si>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</si>
  <si>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</si>
  <si>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</si>
  <si>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</si>
  <si>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</si>
  <si>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</si>
  <si>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</si>
  <si>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</si>
  <si>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</si>
  <si>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</si>
  <si>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</si>
  <si>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</si>
  <si>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</si>
  <si>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</si>
  <si>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</si>
  <si>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</si>
  <si>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</si>
  <si>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</si>
  <si>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</si>
  <si>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</si>
  <si>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</si>
  <si>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</si>
  <si>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</si>
  <si>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</si>
  <si>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</si>
  <si>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</si>
  <si>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</si>
  <si>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</si>
  <si>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</si>
  <si>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</si>
  <si>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</si>
  <si>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</si>
  <si>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</si>
  <si>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</si>
  <si>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</si>
  <si>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</si>
  <si>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</si>
  <si>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</si>
  <si>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</si>
  <si>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</si>
  <si>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</si>
  <si>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</si>
  <si>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</si>
  <si>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</si>
  <si>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</si>
  <si>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</si>
  <si>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Jacket MATLAB Compiler (for license free deployment of Jacket code via the MATLAB compiler)</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</si>
  <si>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</si>
  <si>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</si>
  <si>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</si>
  <si>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</si>
  <si>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</si>
  <si>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</si>
  <si>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</si>
  <si>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</si>
  <si>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</si>
  <si>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</si>
  <si>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</si>
  <si>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</si>
  <si>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</si>
  <si>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</si>
  <si>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</si>
  <si>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</si>
  <si>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</si>
  <si>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</si>
  <si>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</si>
  <si>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</si>
  <si>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</si>
  <si>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</si>
  <si>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</si>
  <si>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</si>
  <si>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</si>
  <si>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</si>
  <si>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</si>
  <si>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</si>
  <si>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</si>
  <si>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</si>
  <si>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</si>
  <si>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</si>
  <si>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</si>
  <si>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</si>
  <si>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</si>
  <si>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</si>
  <si>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</si>
  <si>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</si>
  <si>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</si>
  <si>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</si>
  <si>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</si>
  <si>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</si>
  <si>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</si>
  <si>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</si>
  <si>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</si>
  <si>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</si>
  <si>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</si>
  <si>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</si>
  <si>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</si>
  <si>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</si>
  <si>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</si>
  <si>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</si>
  <si>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</si>
  <si>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</si>
  <si>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</si>
  <si>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</si>
  <si>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</si>
  <si>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</si>
  <si>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</si>
  <si>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</si>
  <si>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</si>
  <si>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</si>
  <si>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</si>
  <si>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</si>
  <si>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</si>
  <si>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</si>
  <si>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</si>
  <si>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</si>
  <si>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</si>
  <si>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</si>
  <si>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</si>
  <si>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</si>
  <si>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</si>
  <si>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</si>
  <si>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</si>
  <si>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</si>
  <si>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</si>
  <si>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</si>
  <si>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</si>
  <si>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</si>
  <si>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</si>
  <si>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</si>
  <si>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</si>
  <si>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</si>
  <si>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</si>
  <si>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</si>
  <si>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</si>
  <si>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</si>
  <si>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</si>
  <si>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</si>
  <si>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</si>
  <si>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</si>
  <si>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</si>
  <si>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</si>
  <si>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</si>
  <si>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</si>
  <si>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</si>
  <si>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</si>
  <si>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</si>
  <si>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</si>
  <si>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</si>
  <si>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</si>
  <si>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</si>
  <si>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</si>
  <si>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</si>
  <si>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</si>
  <si>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</si>
  <si>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</si>
  <si>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</si>
  <si>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</si>
  <si>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</si>
  <si>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</si>
  <si>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http://www.accelereyes.com/doc/EULA.pdf </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</si>
  <si>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</si>
  <si>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</si>
  <si>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</si>
  <si>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</si>
  <si>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</si>
  <si>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</si>
  <si>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</si>
  <si>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</si>
  <si>
    <t>Perpetual vs. Subscription</t>
  </si>
  <si>
    <t>Jacket Price List</t>
  </si>
  <si>
    <t>Regular Price</t>
  </si>
  <si>
    <t>1-Yr</t>
  </si>
  <si>
    <t>Designated computer base licenses are perpetual, come with 1-year of maintenance, and include the ability to control a single GPU. License agreement is here:  http://accelereyes.com/eula_jacket</t>
  </si>
  <si>
    <t>0 - Commercial/Indvidual, Government/Research, 2 - Academic</t>
  </si>
  <si>
    <t>Last updated 5/31/2011</t>
  </si>
  <si>
    <r>
      <t xml:space="preserve">Select "Customer Type" - Commercial,Govt </t>
    </r>
    <r>
      <rPr>
        <b/>
        <sz val="18"/>
        <color theme="1"/>
        <rFont val="Arial"/>
        <family val="2"/>
      </rPr>
      <t xml:space="preserve">/ </t>
    </r>
    <r>
      <rPr>
        <b/>
        <sz val="14"/>
        <color theme="1"/>
        <rFont val="Arial"/>
        <family val="2"/>
      </rPr>
      <t>Academic(0/2)</t>
    </r>
  </si>
  <si>
    <t>Standard</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</si>
</sst>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1"/>
      <color rgb="FF000000"/>
      <name val="Calibri"/>
      <family val="2"/>
      <scheme val="minor"/>
    </font>
    <font>
      <b/>
      <sz val="11"/>
      <color rgb="FF000000"/>
      <name val="Calibri"/>
      <family val="2"/>
      <scheme val="minor"/>
    </font>
    <font>
      <sz val="10"/>
      <name val="Calibri"/>
      <family val="2"/>
      <scheme val="minor"/>
    </font>
    <font>
      <sz val="11"/>
      <name val="Calibri"/>
      <family val="2"/>
      <scheme val="minor"/>
    </font>
    <font>
      <b/>
      <sz val="11"/>
      <name val="Calibri"/>
      <family val="2"/>
      <scheme val="minor"/>
    </font>
    <font>
      <b/>
      <sz val="18"/>
      <color theme="1"/>
      <name val="Arial"/>
      <family val="2"/>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21">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9" fontId="0" fillId="0" borderId="0" xfId="0" applyNumberFormat="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25" fillId="14" borderId="0" xfId="1" applyFont="1" applyFill="1"/>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25" fillId="0" borderId="0" xfId="1" applyFont="1" applyAlignment="1">
      <alignment horizontal="left"/>
    </xf>
    <xf numFmtId="165" fontId="29" fillId="0" borderId="4" xfId="1" applyNumberFormat="1" applyFont="1" applyFill="1" applyBorder="1" applyAlignment="1">
      <alignment horizontal="center" vertical="center" wrapText="1"/>
    </xf>
    <xf numFmtId="0" fontId="0" fillId="0" borderId="0" xfId="0" applyFont="1" applyAlignment="1">
      <alignment horizontal="center"/>
    </xf>
    <xf numFmtId="0" fontId="0" fillId="4" borderId="0" xfId="0" applyFont="1" applyFill="1"/>
    <xf numFmtId="0" fontId="42" fillId="0" borderId="0" xfId="0" applyFont="1" applyAlignment="1">
      <alignment vertical="top" wrapText="1"/>
    </xf>
    <xf numFmtId="0" fontId="0" fillId="7" borderId="0" xfId="0" applyFont="1" applyFill="1"/>
    <xf numFmtId="0" fontId="42" fillId="7" borderId="0" xfId="0" applyFont="1" applyFill="1" applyAlignment="1">
      <alignment vertical="top" wrapText="1"/>
    </xf>
    <xf numFmtId="164" fontId="0" fillId="7" borderId="0" xfId="0" applyNumberFormat="1" applyFont="1" applyFill="1"/>
    <xf numFmtId="165" fontId="0" fillId="7" borderId="0" xfId="0" applyNumberFormat="1" applyFont="1" applyFill="1"/>
    <xf numFmtId="0" fontId="43" fillId="4" borderId="0" xfId="0" applyFont="1" applyFill="1" applyAlignment="1">
      <alignment vertical="top" wrapText="1"/>
    </xf>
    <xf numFmtId="0" fontId="42" fillId="7" borderId="0" xfId="0" applyFont="1" applyFill="1" applyAlignment="1">
      <alignment vertical="top"/>
    </xf>
    <xf numFmtId="0" fontId="42" fillId="0" borderId="0" xfId="0" applyFont="1" applyFill="1" applyAlignment="1">
      <alignment vertical="top"/>
    </xf>
    <xf numFmtId="9" fontId="0" fillId="7" borderId="0" xfId="0" applyNumberFormat="1" applyFont="1" applyFill="1"/>
    <xf numFmtId="0" fontId="45" fillId="7" borderId="0" xfId="1" applyFont="1" applyFill="1" applyBorder="1" applyAlignment="1">
      <alignment horizontal="left" vertical="center" wrapText="1"/>
    </xf>
    <xf numFmtId="0" fontId="0" fillId="7" borderId="0" xfId="0" applyFont="1" applyFill="1" applyBorder="1"/>
    <xf numFmtId="0" fontId="0" fillId="0" borderId="0" xfId="0" applyFont="1" applyBorder="1"/>
    <xf numFmtId="0" fontId="46" fillId="4" borderId="0" xfId="1" applyFont="1" applyFill="1" applyBorder="1" applyAlignment="1">
      <alignment horizontal="left" vertical="center" wrapText="1"/>
    </xf>
    <xf numFmtId="0" fontId="45" fillId="0" borderId="0" xfId="1" applyFont="1" applyFill="1" applyBorder="1" applyAlignment="1">
      <alignment horizontal="left" vertical="center" wrapText="1"/>
    </xf>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0" fillId="18" borderId="0" xfId="0" applyFont="1" applyFill="1"/>
    <xf numFmtId="0" fontId="42"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5" fillId="18" borderId="0" xfId="1" applyFont="1" applyFill="1" applyBorder="1" applyAlignment="1">
      <alignment vertical="center" wrapText="1"/>
    </xf>
    <xf numFmtId="0" fontId="45"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2" fillId="18" borderId="0" xfId="0" applyFont="1" applyFill="1" applyAlignment="1">
      <alignment vertical="top"/>
    </xf>
    <xf numFmtId="0" fontId="45" fillId="18" borderId="0" xfId="1" applyFont="1" applyFill="1" applyBorder="1" applyAlignment="1">
      <alignment horizontal="left" vertical="center" wrapText="1"/>
    </xf>
    <xf numFmtId="9" fontId="0" fillId="18" borderId="0" xfId="0" applyNumberFormat="1" applyFont="1" applyFill="1"/>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7" fillId="11" borderId="13" xfId="1" applyFont="1" applyFill="1" applyBorder="1" applyAlignment="1">
      <alignment horizontal="center" vertical="center" wrapText="1"/>
    </xf>
    <xf numFmtId="0" fontId="0" fillId="0" borderId="12" xfId="0" applyBorder="1" applyAlignment="1"/>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0" fillId="0" borderId="0" xfId="0" applyAlignment="1"/>
    <xf numFmtId="0" fontId="24" fillId="14" borderId="0" xfId="1" applyFont="1" applyFill="1" applyBorder="1" applyAlignment="1">
      <alignment horizontal="left"/>
    </xf>
    <xf numFmtId="0" fontId="9" fillId="0" borderId="0" xfId="1" applyBorder="1" applyAlignment="1">
      <alignment horizontal="left"/>
    </xf>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25" fillId="0" borderId="0" xfId="1" applyFont="1" applyAlignment="1">
      <alignment horizontal="left"/>
    </xf>
    <xf numFmtId="0" fontId="26" fillId="9" borderId="0" xfId="1" applyFont="1" applyFill="1" applyBorder="1" applyAlignment="1">
      <alignment horizontal="center" vertical="center"/>
    </xf>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9" fillId="0" borderId="0" xfId="1" applyFont="1" applyAlignment="1">
      <alignment horizontal="justify"/>
    </xf>
    <xf numFmtId="0" fontId="44" fillId="0" borderId="0" xfId="1" applyFont="1" applyFill="1" applyBorder="1" applyAlignment="1">
      <alignment vertical="center" wrapText="1"/>
    </xf>
    <xf numFmtId="0" fontId="13" fillId="0" borderId="0" xfId="0" applyFont="1" applyFill="1" applyBorder="1" applyAlignment="1"/>
    <xf numFmtId="0" fontId="14" fillId="0" borderId="0" xfId="0" applyFont="1" applyAlignment="1">
      <alignment horizontal="left" vertical="center" indent="2"/>
    </xf>
    <xf numFmtId="0" fontId="0" fillId="0" borderId="0" xfId="0" applyAlignment="1">
      <alignment horizontal="left" vertical="center" indent="2"/>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84</xdr:row>
      <xdr:rowOff>180975</xdr:rowOff>
    </xdr:from>
    <xdr:to>
      <xdr:col>4</xdr:col>
      <xdr:colOff>18166</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26</xdr:row>
      <xdr:rowOff>171450</xdr:rowOff>
    </xdr:from>
    <xdr:to>
      <xdr:col>3</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0</xdr:row>
      <xdr:rowOff>66675</xdr:rowOff>
    </xdr:from>
    <xdr:to>
      <xdr:col>5</xdr:col>
      <xdr:colOff>1790703</xdr:colOff>
      <xdr:row>0</xdr:row>
      <xdr:rowOff>551606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296150" y="66675"/>
          <a:ext cx="1171578" cy="484931"/>
        </a:xfrm>
        <a:prstGeom prst="rect">
          <a:avLst/>
        </a:prstGeom>
      </xdr:spPr>
    </xdr:pic>
    <xdr:clientData/>
  </xdr:twoCellAnchor>
  <xdr:twoCellAnchor editAs="oneCell">
    <xdr:from>
      <xdr:col>5</xdr:col>
      <xdr:colOff>409574</xdr:colOff>
      <xdr:row>15</xdr:row>
      <xdr:rowOff>6095</xdr:rowOff>
    </xdr:from>
    <xdr:to>
      <xdr:col>6</xdr:col>
      <xdr:colOff>19049</xdr:colOff>
      <xdr:row>21</xdr:row>
      <xdr:rowOff>9524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7153274" y="3425570"/>
          <a:ext cx="1457325" cy="1146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tabSelected="1" workbookViewId="0">
      <selection activeCell="D5" sqref="D5"/>
    </sheetView>
  </sheetViews>
  <sheetFormatPr defaultRowHeight="15"/>
  <cols>
    <col min="2" max="2" width="64" customWidth="1"/>
    <col min="4" max="4" width="62.140625" customWidth="1"/>
  </cols>
  <sheetData>
    <row r="1" spans="1:4" ht="23.25">
      <c r="B1" s="147" t="s">
        <v>257</v>
      </c>
    </row>
    <row r="2" spans="1:4">
      <c r="B2" s="146"/>
    </row>
    <row r="3" spans="1:4">
      <c r="A3">
        <v>1</v>
      </c>
      <c r="B3" t="s">
        <v>256</v>
      </c>
    </row>
    <row r="4" spans="1:4" ht="21">
      <c r="A4">
        <v>2</v>
      </c>
      <c r="B4" s="26" t="s">
        <v>258</v>
      </c>
      <c r="C4" s="23"/>
    </row>
    <row r="5" spans="1:4">
      <c r="A5">
        <v>3</v>
      </c>
      <c r="B5" t="s">
        <v>260</v>
      </c>
      <c r="D5" t="s">
        <v>306</v>
      </c>
    </row>
    <row r="6" spans="1:4">
      <c r="A6">
        <v>4</v>
      </c>
      <c r="B6" t="s">
        <v>259</v>
      </c>
    </row>
    <row r="7" spans="1:4">
      <c r="B7" t="s">
        <v>261</v>
      </c>
    </row>
    <row r="8" spans="1:4">
      <c r="B8" t="s">
        <v>262</v>
      </c>
    </row>
    <row r="9" spans="1:4">
      <c r="A9">
        <v>5</v>
      </c>
      <c r="B9" t="s">
        <v>263</v>
      </c>
    </row>
    <row r="10" spans="1:4">
      <c r="B10" t="s">
        <v>270</v>
      </c>
    </row>
    <row r="11" spans="1:4">
      <c r="A11" s="148"/>
      <c r="B11" t="s">
        <v>286</v>
      </c>
    </row>
    <row r="12" spans="1:4">
      <c r="B12" t="s">
        <v>264</v>
      </c>
    </row>
    <row r="13" spans="1:4">
      <c r="B13" t="s">
        <v>265</v>
      </c>
    </row>
    <row r="14" spans="1:4">
      <c r="A14">
        <v>6</v>
      </c>
      <c r="B14" t="s">
        <v>266</v>
      </c>
    </row>
    <row r="15" spans="1:4">
      <c r="A15" s="148"/>
      <c r="B15" t="s">
        <v>287</v>
      </c>
      <c r="D15" s="38" t="s">
        <v>293</v>
      </c>
    </row>
    <row r="16" spans="1:4">
      <c r="A16">
        <v>7</v>
      </c>
      <c r="B16" t="s">
        <v>267</v>
      </c>
      <c r="D16" t="s">
        <v>269</v>
      </c>
    </row>
    <row r="17" spans="1:4">
      <c r="A17">
        <v>8</v>
      </c>
      <c r="B17" t="s">
        <v>268</v>
      </c>
      <c r="D17" t="s">
        <v>269</v>
      </c>
    </row>
    <row r="18" spans="1:4">
      <c r="A18">
        <v>9</v>
      </c>
      <c r="B18" t="s">
        <v>271</v>
      </c>
      <c r="D18" t="s">
        <v>269</v>
      </c>
    </row>
    <row r="19" spans="1:4">
      <c r="A19">
        <v>10</v>
      </c>
      <c r="B19" t="s">
        <v>272</v>
      </c>
    </row>
    <row r="20" spans="1:4">
      <c r="B20" t="s">
        <v>273</v>
      </c>
    </row>
    <row r="21" spans="1:4">
      <c r="A21">
        <v>11</v>
      </c>
      <c r="B21" t="s">
        <v>274</v>
      </c>
    </row>
    <row r="22" spans="1:4">
      <c r="B22" t="s">
        <v>275</v>
      </c>
    </row>
    <row r="23" spans="1:4">
      <c r="B23" t="s">
        <v>276</v>
      </c>
    </row>
    <row r="24" spans="1:4">
      <c r="B24" t="s">
        <v>277</v>
      </c>
    </row>
    <row r="25" spans="1:4">
      <c r="B25" t="s">
        <v>278</v>
      </c>
    </row>
    <row r="26" spans="1:4">
      <c r="B26" t="s">
        <v>279</v>
      </c>
    </row>
    <row r="27" spans="1:4">
      <c r="B27" t="s">
        <v>280</v>
      </c>
    </row>
    <row r="28" spans="1:4">
      <c r="B28" t="s">
        <v>281</v>
      </c>
    </row>
    <row r="29" spans="1:4">
      <c r="B29" t="s">
        <v>282</v>
      </c>
    </row>
    <row r="30" spans="1:4">
      <c r="B30" t="s">
        <v>285</v>
      </c>
    </row>
    <row r="31" spans="1:4">
      <c r="B31" t="s">
        <v>283</v>
      </c>
    </row>
    <row r="32" spans="1:4">
      <c r="B32" t="s">
        <v>284</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workbookViewId="0">
      <selection activeCell="I21" sqref="I21"/>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2" customFormat="1" ht="23.25" customHeight="1">
      <c r="A1" s="197" t="s">
        <v>308</v>
      </c>
      <c r="B1" s="198"/>
      <c r="C1" s="198"/>
      <c r="D1" s="198"/>
      <c r="F1" s="191">
        <v>0</v>
      </c>
      <c r="G1" s="192"/>
      <c r="H1" s="193"/>
    </row>
    <row r="2" spans="1:9" s="32" customFormat="1">
      <c r="A2" s="33"/>
      <c r="B2" s="34"/>
      <c r="F2" s="35" t="s">
        <v>309</v>
      </c>
      <c r="G2" s="35" t="s">
        <v>58</v>
      </c>
      <c r="H2" s="35" t="s">
        <v>56</v>
      </c>
    </row>
    <row r="3" spans="1:9" s="5" customFormat="1">
      <c r="A3" s="1"/>
      <c r="B3" s="2" t="s">
        <v>0</v>
      </c>
      <c r="C3" s="3" t="s">
        <v>1</v>
      </c>
      <c r="D3" s="1" t="s">
        <v>2</v>
      </c>
      <c r="E3" s="4"/>
      <c r="F3" s="195" t="s">
        <v>55</v>
      </c>
      <c r="G3" s="196"/>
      <c r="H3" s="196"/>
    </row>
    <row r="4" spans="1:9">
      <c r="A4" t="s">
        <v>3</v>
      </c>
      <c r="B4" s="6" t="s">
        <v>4</v>
      </c>
      <c r="C4" s="7" t="s">
        <v>5</v>
      </c>
      <c r="D4" s="8">
        <v>999</v>
      </c>
      <c r="F4" s="41">
        <v>0</v>
      </c>
      <c r="G4" s="41">
        <v>0</v>
      </c>
      <c r="H4" s="41">
        <v>0.65</v>
      </c>
    </row>
    <row r="5" spans="1:9" hidden="1" outlineLevel="1">
      <c r="A5" t="s">
        <v>35</v>
      </c>
      <c r="B5" s="6" t="s">
        <v>6</v>
      </c>
      <c r="C5" s="7" t="s">
        <v>5</v>
      </c>
      <c r="D5" s="8">
        <v>395</v>
      </c>
    </row>
    <row r="6" spans="1:9" hidden="1" outlineLevel="1">
      <c r="A6" t="s">
        <v>294</v>
      </c>
      <c r="B6" s="26" t="s">
        <v>295</v>
      </c>
      <c r="C6" s="7" t="s">
        <v>5</v>
      </c>
      <c r="D6" s="8">
        <v>395</v>
      </c>
    </row>
    <row r="7" spans="1:9" hidden="1" outlineLevel="1">
      <c r="A7" t="s">
        <v>7</v>
      </c>
      <c r="B7" s="6" t="s">
        <v>8</v>
      </c>
      <c r="C7" s="7" t="s">
        <v>5</v>
      </c>
      <c r="D7" s="8">
        <v>995</v>
      </c>
      <c r="I7" s="28"/>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94" t="s">
        <v>29</v>
      </c>
      <c r="B11" s="194"/>
      <c r="C11" s="194"/>
      <c r="D11" s="194"/>
    </row>
    <row r="12" spans="1:9" hidden="1" outlineLevel="1">
      <c r="A12" s="26" t="s">
        <v>24</v>
      </c>
      <c r="B12" s="26" t="s">
        <v>57</v>
      </c>
      <c r="C12" s="40" t="s">
        <v>5</v>
      </c>
      <c r="D12" s="39">
        <f>(D4+D5+D7+(3*D9))*0.8</f>
        <v>3711.2000000000003</v>
      </c>
    </row>
    <row r="13" spans="1:9" hidden="1" outlineLevel="1">
      <c r="A13" s="26" t="s">
        <v>25</v>
      </c>
      <c r="B13" s="26" t="s">
        <v>27</v>
      </c>
      <c r="C13" s="40" t="s">
        <v>5</v>
      </c>
      <c r="D13" s="39">
        <f>((D4*5)*0.8)</f>
        <v>3996</v>
      </c>
    </row>
    <row r="14" spans="1:9" hidden="1" outlineLevel="1">
      <c r="A14" s="26" t="s">
        <v>26</v>
      </c>
      <c r="B14" s="26" t="s">
        <v>28</v>
      </c>
      <c r="C14" s="40" t="s">
        <v>5</v>
      </c>
      <c r="D14" s="39">
        <f>((D4*10)*0.8)</f>
        <v>7992</v>
      </c>
    </row>
    <row r="15" spans="1:9" collapsed="1">
      <c r="A15" s="189" t="s">
        <v>23</v>
      </c>
      <c r="B15" s="190"/>
      <c r="C15" s="190"/>
      <c r="D15" s="190"/>
      <c r="E15" s="190"/>
      <c r="F15" s="36"/>
      <c r="G15" s="36"/>
      <c r="H15" s="36"/>
    </row>
    <row r="16" spans="1:9">
      <c r="A16" s="9"/>
      <c r="B16" s="9"/>
      <c r="C16" s="10" t="s">
        <v>16</v>
      </c>
      <c r="D16" s="10" t="s">
        <v>61</v>
      </c>
      <c r="E16" s="9"/>
      <c r="F16" s="9"/>
      <c r="G16" s="9"/>
      <c r="H16" s="9"/>
    </row>
    <row r="17" spans="1:8" ht="15.75">
      <c r="A17" s="194" t="s">
        <v>29</v>
      </c>
      <c r="B17" s="194"/>
      <c r="C17" s="194"/>
      <c r="D17" s="194"/>
      <c r="E17" s="37"/>
      <c r="F17" s="30"/>
      <c r="G17" s="30"/>
      <c r="H17" s="30"/>
    </row>
    <row r="18" spans="1:8">
      <c r="A18" s="21" t="s">
        <v>24</v>
      </c>
      <c r="B18" s="21" t="s">
        <v>57</v>
      </c>
      <c r="C18" s="149">
        <v>0</v>
      </c>
      <c r="D18" s="22">
        <f>C18*D12</f>
        <v>0</v>
      </c>
      <c r="E18" s="21"/>
      <c r="F18" s="22">
        <f>$D$12*$C$18</f>
        <v>0</v>
      </c>
      <c r="G18" s="22">
        <f>($D$12*$C$18)*(1-G4)</f>
        <v>0</v>
      </c>
      <c r="H18" s="22">
        <f>($D$12*$C$18)*(1-H4)</f>
        <v>0</v>
      </c>
    </row>
    <row r="19" spans="1:8">
      <c r="A19" s="21" t="s">
        <v>25</v>
      </c>
      <c r="B19" s="21" t="s">
        <v>27</v>
      </c>
      <c r="C19" s="149">
        <v>0</v>
      </c>
      <c r="D19" s="22">
        <f>C19*D13</f>
        <v>0</v>
      </c>
      <c r="E19" s="21"/>
      <c r="F19" s="22">
        <f>$D$13*$C$19</f>
        <v>0</v>
      </c>
      <c r="G19" s="22">
        <f>($D$13*$C$19)*(1-G4)</f>
        <v>0</v>
      </c>
      <c r="H19" s="22">
        <f>($D$13*$C$19)*(1-H4)</f>
        <v>0</v>
      </c>
    </row>
    <row r="20" spans="1:8">
      <c r="A20" s="21" t="s">
        <v>26</v>
      </c>
      <c r="B20" s="21" t="s">
        <v>28</v>
      </c>
      <c r="C20" s="149">
        <v>0</v>
      </c>
      <c r="D20" s="22">
        <f>C20*D14</f>
        <v>0</v>
      </c>
      <c r="E20" s="21"/>
      <c r="F20" s="22">
        <f>$D$14*$C$20</f>
        <v>0</v>
      </c>
      <c r="G20" s="22">
        <f>($D$14*$C$20)*(1-G4)</f>
        <v>0</v>
      </c>
      <c r="H20" s="22">
        <f>($D$14*$C$20)*(1-H4)</f>
        <v>0</v>
      </c>
    </row>
    <row r="21" spans="1:8" ht="15.75">
      <c r="A21" s="194" t="s">
        <v>59</v>
      </c>
      <c r="B21" s="194"/>
      <c r="C21" s="194"/>
      <c r="D21" s="194"/>
      <c r="E21" s="37"/>
      <c r="F21" s="30"/>
      <c r="G21" s="30"/>
      <c r="H21" s="30"/>
    </row>
    <row r="22" spans="1:8">
      <c r="A22" s="9" t="s">
        <v>3</v>
      </c>
      <c r="B22" s="20" t="s">
        <v>4</v>
      </c>
      <c r="C22" s="149">
        <v>0</v>
      </c>
      <c r="D22" s="12">
        <f>D4*C22</f>
        <v>0</v>
      </c>
      <c r="E22" s="9"/>
      <c r="F22" s="12">
        <f>$D$4*$C$22</f>
        <v>0</v>
      </c>
      <c r="G22" s="12">
        <f>IF(C22+0,($D$4*$C$22+C22)*(1-G4),0)</f>
        <v>0</v>
      </c>
      <c r="H22" s="12">
        <f>IF(C22&gt;0,($D$4*$C$22+C22)*(1-H4),0)</f>
        <v>0</v>
      </c>
    </row>
    <row r="23" spans="1:8">
      <c r="A23" s="9" t="s">
        <v>35</v>
      </c>
      <c r="B23" s="20" t="s">
        <v>46</v>
      </c>
      <c r="C23" s="149">
        <v>0</v>
      </c>
      <c r="D23" s="12">
        <f>D5*C23</f>
        <v>0</v>
      </c>
      <c r="E23" s="9"/>
      <c r="F23" s="12">
        <f>$D$5*$C$23</f>
        <v>0</v>
      </c>
      <c r="G23" s="12">
        <f>($D$5*$C$23)*(1-G4)</f>
        <v>0</v>
      </c>
      <c r="H23" s="12">
        <f>($D$5*$C$23)*(1-H4)</f>
        <v>0</v>
      </c>
    </row>
    <row r="24" spans="1:8">
      <c r="A24" s="9" t="s">
        <v>294</v>
      </c>
      <c r="B24" s="9" t="s">
        <v>295</v>
      </c>
      <c r="C24" s="149">
        <v>0</v>
      </c>
      <c r="D24" s="12">
        <f>D6*C24</f>
        <v>0</v>
      </c>
      <c r="E24" s="9"/>
      <c r="F24" s="12">
        <f>$D$6*$C$24</f>
        <v>0</v>
      </c>
      <c r="G24" s="12">
        <f>($D$6*$C$24)*(1-G4)</f>
        <v>0</v>
      </c>
      <c r="H24" s="12">
        <f>($D$6*$C$24)*(1-H4)</f>
        <v>0</v>
      </c>
    </row>
    <row r="25" spans="1:8">
      <c r="A25" s="9" t="s">
        <v>7</v>
      </c>
      <c r="B25" s="20" t="s">
        <v>8</v>
      </c>
      <c r="C25" s="149">
        <v>0</v>
      </c>
      <c r="D25" s="12">
        <f>D7*C25</f>
        <v>0</v>
      </c>
      <c r="E25" s="9"/>
      <c r="F25" s="12">
        <f>$D$7*$C$25</f>
        <v>0</v>
      </c>
      <c r="G25" s="12">
        <f>($D$7*$C$25)*(1-G4)</f>
        <v>0</v>
      </c>
      <c r="H25" s="12">
        <f>($D$7*$C$25)*(1-H4)</f>
        <v>0</v>
      </c>
    </row>
    <row r="26" spans="1:8">
      <c r="A26" s="9" t="s">
        <v>9</v>
      </c>
      <c r="B26" s="20" t="s">
        <v>10</v>
      </c>
      <c r="C26" s="149">
        <v>0</v>
      </c>
      <c r="D26" s="12">
        <f>D8*C26</f>
        <v>0</v>
      </c>
      <c r="E26" s="9"/>
      <c r="F26" s="12">
        <f>$D$8*$C$26</f>
        <v>0</v>
      </c>
      <c r="G26" s="12">
        <f>($D$8*$C$26)*(1-G4)</f>
        <v>0</v>
      </c>
      <c r="H26" s="12">
        <f>($D$8*$C$26)*(1-H4)</f>
        <v>0</v>
      </c>
    </row>
    <row r="27" spans="1:8">
      <c r="A27" s="9" t="s">
        <v>11</v>
      </c>
      <c r="B27" s="20" t="s">
        <v>12</v>
      </c>
      <c r="C27" s="10">
        <f>SUM(C28:C32)</f>
        <v>0</v>
      </c>
      <c r="D27" s="12">
        <f>SUM(D28:D32)</f>
        <v>0</v>
      </c>
      <c r="E27" s="9"/>
      <c r="F27" s="12">
        <f>SUM(F28:F32)</f>
        <v>0</v>
      </c>
      <c r="G27" s="12">
        <f>SUM(G28:G32)</f>
        <v>0</v>
      </c>
      <c r="H27" s="12">
        <f>SUM(H28:H32)</f>
        <v>0</v>
      </c>
    </row>
    <row r="28" spans="1:8">
      <c r="A28" s="9"/>
      <c r="B28" s="20" t="s">
        <v>247</v>
      </c>
      <c r="C28" s="149">
        <v>0</v>
      </c>
      <c r="D28" s="155">
        <f>IF(AND('Configure Products'!C22=0,'Configure Products'!C19=0,'Configure Products'!C20=0),0,IF(C28=0,0,$D$9*(C28-1)))</f>
        <v>0</v>
      </c>
      <c r="E28" s="156"/>
      <c r="F28" s="155">
        <f>D28</f>
        <v>0</v>
      </c>
      <c r="G28" s="155">
        <f>D28*(1-$G$4)</f>
        <v>0</v>
      </c>
      <c r="H28" s="155">
        <f>D28*(1-$H$4)</f>
        <v>0</v>
      </c>
    </row>
    <row r="29" spans="1:8">
      <c r="A29" s="9"/>
      <c r="B29" s="20" t="s">
        <v>248</v>
      </c>
      <c r="C29" s="149">
        <v>0</v>
      </c>
      <c r="D29" s="155">
        <f>IF(AND('Configure Products'!C22=0,'Configure Products'!C19=0,'Configure Products'!C20=0),0,IF(C29=0,0,$D$9*(C29-1)))</f>
        <v>0</v>
      </c>
      <c r="E29" s="156"/>
      <c r="F29" s="155">
        <f t="shared" ref="F29:F32" si="0">D29</f>
        <v>0</v>
      </c>
      <c r="G29" s="155">
        <f t="shared" ref="G29:G32" si="1">D29*(1-$G$4)</f>
        <v>0</v>
      </c>
      <c r="H29" s="155">
        <f t="shared" ref="H29:H32" si="2">D29*(1-$H$4)</f>
        <v>0</v>
      </c>
    </row>
    <row r="30" spans="1:8">
      <c r="A30" s="9"/>
      <c r="B30" s="20" t="s">
        <v>249</v>
      </c>
      <c r="C30" s="149">
        <v>0</v>
      </c>
      <c r="D30" s="155">
        <f>IF(AND('Configure Products'!C22=0,'Configure Products'!C19=0,'Configure Products'!C20=0),0,IF(C30=0,0,$D$9*(C30-1)))</f>
        <v>0</v>
      </c>
      <c r="E30" s="156"/>
      <c r="F30" s="155">
        <f t="shared" si="0"/>
        <v>0</v>
      </c>
      <c r="G30" s="155">
        <f t="shared" si="1"/>
        <v>0</v>
      </c>
      <c r="H30" s="155">
        <f t="shared" si="2"/>
        <v>0</v>
      </c>
    </row>
    <row r="31" spans="1:8">
      <c r="A31" s="9"/>
      <c r="B31" s="20" t="s">
        <v>250</v>
      </c>
      <c r="C31" s="149">
        <v>0</v>
      </c>
      <c r="D31" s="155">
        <f>IF(AND('Configure Products'!C22=0,'Configure Products'!C19=0,'Configure Products'!C20=0),0,IF(C31=0,0,$D$9*(C31-1)))</f>
        <v>0</v>
      </c>
      <c r="E31" s="156"/>
      <c r="F31" s="155">
        <f t="shared" si="0"/>
        <v>0</v>
      </c>
      <c r="G31" s="155">
        <f t="shared" si="1"/>
        <v>0</v>
      </c>
      <c r="H31" s="155">
        <f t="shared" si="2"/>
        <v>0</v>
      </c>
    </row>
    <row r="32" spans="1:8">
      <c r="A32" s="9"/>
      <c r="B32" s="20" t="s">
        <v>251</v>
      </c>
      <c r="C32" s="149">
        <v>0</v>
      </c>
      <c r="D32" s="155">
        <f>IF(AND('Configure Products'!C22=0,'Configure Products'!C19=0,'Configure Products'!C20=0),0,IF(C32=0,0,$D$9*(C32-1)))</f>
        <v>0</v>
      </c>
      <c r="E32" s="156"/>
      <c r="F32" s="155">
        <f t="shared" si="0"/>
        <v>0</v>
      </c>
      <c r="G32" s="155">
        <f t="shared" si="1"/>
        <v>0</v>
      </c>
      <c r="H32" s="155">
        <f t="shared" si="2"/>
        <v>0</v>
      </c>
    </row>
    <row r="33" spans="1:8">
      <c r="A33" s="9" t="s">
        <v>14</v>
      </c>
      <c r="B33" s="20" t="s">
        <v>15</v>
      </c>
      <c r="C33" s="149">
        <v>0</v>
      </c>
      <c r="D33" s="12">
        <f>IF(C33=0,0,D10*(C33-1))</f>
        <v>0</v>
      </c>
      <c r="E33" s="9"/>
      <c r="F33" s="12">
        <f>D33</f>
        <v>0</v>
      </c>
      <c r="G33" s="12">
        <f>D33*(1-G4)</f>
        <v>0</v>
      </c>
      <c r="H33" s="12">
        <f>D33*(1-H4)</f>
        <v>0</v>
      </c>
    </row>
    <row r="34" spans="1:8" s="38" customFormat="1">
      <c r="A34" s="152"/>
      <c r="B34" s="152" t="s">
        <v>60</v>
      </c>
      <c r="C34" s="153"/>
      <c r="D34" s="154">
        <f>SUM(D18:D27)+D33</f>
        <v>0</v>
      </c>
      <c r="E34" s="152"/>
      <c r="F34" s="154">
        <f>SUM(F18:F27)+F33</f>
        <v>0</v>
      </c>
      <c r="G34" s="154">
        <f>SUM(G18:G27)+G33</f>
        <v>0</v>
      </c>
      <c r="H34" s="154">
        <f>SUM(H18:H27)+H33</f>
        <v>0</v>
      </c>
    </row>
    <row r="35" spans="1:8" ht="7.5" customHeight="1">
      <c r="A35" s="42"/>
      <c r="B35" s="42"/>
      <c r="C35" s="43"/>
      <c r="D35" s="44"/>
      <c r="E35" s="42"/>
      <c r="F35" s="42"/>
      <c r="G35" s="42"/>
      <c r="H35" s="42"/>
    </row>
    <row r="36" spans="1:8">
      <c r="A36" s="13"/>
      <c r="B36" s="13"/>
      <c r="C36" s="11" t="s">
        <v>17</v>
      </c>
      <c r="D36" s="14"/>
      <c r="E36" s="15" t="s">
        <v>18</v>
      </c>
      <c r="F36" s="13"/>
      <c r="G36" s="13"/>
      <c r="H36" s="13"/>
    </row>
    <row r="37" spans="1:8">
      <c r="A37" s="13" t="s">
        <v>253</v>
      </c>
      <c r="B37" s="13"/>
      <c r="C37" s="149">
        <v>1</v>
      </c>
      <c r="D37" s="14">
        <f>IF(C37=0,0,D34*(1*E37))</f>
        <v>0</v>
      </c>
      <c r="E37" s="16">
        <v>0.1</v>
      </c>
      <c r="F37" s="14">
        <f>IF($C$37=0,0,(1*$F$34*$E$37))</f>
        <v>0</v>
      </c>
      <c r="G37" s="14">
        <f>IF($C$37=0,0,(1*$G$34*$E$37))</f>
        <v>0</v>
      </c>
      <c r="H37" s="14">
        <f>IF($C$37=0,0,(1*$H$34*$E$37))</f>
        <v>0</v>
      </c>
    </row>
    <row r="38" spans="1:8">
      <c r="A38" s="13" t="s">
        <v>20</v>
      </c>
      <c r="B38" s="13"/>
      <c r="C38" s="149">
        <v>1</v>
      </c>
      <c r="D38" s="14">
        <f>IF(C38=0,0,D34*(1*E38))</f>
        <v>0</v>
      </c>
      <c r="E38" s="16">
        <v>0.2</v>
      </c>
      <c r="F38" s="14">
        <f>IF($C$38=0,0,(1*$F$34*$E$38))</f>
        <v>0</v>
      </c>
      <c r="G38" s="14">
        <f>IF($C$38=0,0,(1*$G$34*$E$38))</f>
        <v>0</v>
      </c>
      <c r="H38" s="14">
        <f>IF($C$38=0,0,(1*$H$34*$E$38))</f>
        <v>0</v>
      </c>
    </row>
    <row r="39" spans="1:8">
      <c r="A39" s="13" t="s">
        <v>21</v>
      </c>
      <c r="B39" s="13"/>
      <c r="C39" s="149">
        <v>0</v>
      </c>
      <c r="D39" s="14">
        <f>IF(C39=0,0,(C39*D34*E39)-D34)</f>
        <v>0</v>
      </c>
      <c r="E39" s="16">
        <v>2.5</v>
      </c>
      <c r="F39" s="14">
        <f>IF($C$39=0,0,(1*$F$34*$E$39)-$F$34)</f>
        <v>0</v>
      </c>
      <c r="G39" s="14">
        <f>IF($C$39=0,0,(1*$G$34*$E$39)-$G$34)</f>
        <v>0</v>
      </c>
      <c r="H39" s="14">
        <f>IF($C$39=0,0,(1*$H$34*$E$39)-$H$34)</f>
        <v>0</v>
      </c>
    </row>
    <row r="40" spans="1:8" s="19" customFormat="1" ht="18.75">
      <c r="A40" s="17"/>
      <c r="B40" s="17" t="s">
        <v>22</v>
      </c>
      <c r="C40" s="17"/>
      <c r="D40" s="18">
        <f>SUM(D34:D39)</f>
        <v>0</v>
      </c>
      <c r="E40" s="17"/>
      <c r="F40" s="18">
        <f>SUM(F34:F39)</f>
        <v>0</v>
      </c>
      <c r="G40" s="18">
        <f>SUM(G34:G39)</f>
        <v>0</v>
      </c>
      <c r="H40" s="18">
        <f t="shared" ref="H40" si="3">SUM(H34:H39)</f>
        <v>0</v>
      </c>
    </row>
  </sheetData>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B19" sqref="B19"/>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8" t="s">
        <v>62</v>
      </c>
    </row>
    <row r="3" spans="1:8">
      <c r="A3" s="23"/>
      <c r="B3" s="23"/>
      <c r="C3" s="23"/>
      <c r="D3" s="23"/>
      <c r="E3" s="23"/>
      <c r="F3" s="23"/>
      <c r="G3" s="23"/>
      <c r="H3" s="23"/>
    </row>
    <row r="4" spans="1:8">
      <c r="A4" s="23"/>
      <c r="B4" s="23"/>
      <c r="C4" s="23"/>
      <c r="D4" s="23"/>
      <c r="E4" s="23"/>
      <c r="F4" s="23"/>
      <c r="G4" s="23"/>
      <c r="H4" s="23"/>
    </row>
    <row r="5" spans="1:8" s="126" customFormat="1" ht="12">
      <c r="B5" s="126" t="s">
        <v>70</v>
      </c>
      <c r="G5" s="127" t="s">
        <v>73</v>
      </c>
      <c r="H5" s="128">
        <f ca="1">TODAY()</f>
        <v>40694</v>
      </c>
    </row>
    <row r="6" spans="1:8" s="126" customFormat="1" ht="12">
      <c r="B6" s="126" t="s">
        <v>71</v>
      </c>
      <c r="G6" s="127" t="s">
        <v>63</v>
      </c>
      <c r="H6" s="129">
        <f ca="1">TODAY()-39000</f>
        <v>1694</v>
      </c>
    </row>
    <row r="7" spans="1:8" s="126" customFormat="1" ht="12">
      <c r="B7" s="126" t="s">
        <v>72</v>
      </c>
      <c r="G7" s="127" t="s">
        <v>64</v>
      </c>
      <c r="H7" s="150"/>
    </row>
    <row r="8" spans="1:8" s="126" customFormat="1" ht="12">
      <c r="G8" s="130"/>
    </row>
    <row r="9" spans="1:8" s="126" customFormat="1" ht="12">
      <c r="B9" s="131" t="s">
        <v>65</v>
      </c>
      <c r="G9" s="127" t="s">
        <v>74</v>
      </c>
      <c r="H9" s="128">
        <f ca="1">TODAY() + 30</f>
        <v>40724</v>
      </c>
    </row>
    <row r="10" spans="1:8" s="126" customFormat="1" ht="12">
      <c r="B10" s="150" t="s">
        <v>75</v>
      </c>
      <c r="C10" s="150" t="s">
        <v>76</v>
      </c>
      <c r="D10" s="150"/>
      <c r="E10" s="150"/>
      <c r="F10" s="150"/>
      <c r="G10" s="127" t="s">
        <v>66</v>
      </c>
      <c r="H10" s="150"/>
    </row>
    <row r="11" spans="1:8" s="126" customFormat="1" ht="12">
      <c r="B11" s="150" t="s">
        <v>67</v>
      </c>
      <c r="C11" s="150"/>
      <c r="D11" s="150"/>
      <c r="E11" s="150"/>
      <c r="F11" s="150"/>
      <c r="G11" s="130"/>
    </row>
    <row r="12" spans="1:8" s="126" customFormat="1" ht="12">
      <c r="B12" s="150" t="s">
        <v>67</v>
      </c>
      <c r="C12" s="150"/>
      <c r="D12" s="150"/>
      <c r="E12" s="150"/>
      <c r="F12" s="150"/>
      <c r="G12" s="130"/>
    </row>
    <row r="13" spans="1:8" s="126" customFormat="1" ht="12">
      <c r="B13" s="150" t="s">
        <v>77</v>
      </c>
      <c r="C13" s="150"/>
      <c r="D13" s="150"/>
      <c r="E13" s="150" t="s">
        <v>78</v>
      </c>
      <c r="F13" s="150"/>
      <c r="G13" s="130"/>
    </row>
    <row r="14" spans="1:8" s="126" customFormat="1" ht="12">
      <c r="B14" s="150" t="s">
        <v>79</v>
      </c>
      <c r="C14" s="150"/>
      <c r="D14" s="150"/>
      <c r="E14" s="150"/>
      <c r="F14" s="150"/>
      <c r="G14" s="130"/>
    </row>
    <row r="15" spans="1:8" ht="6.75" customHeight="1"/>
    <row r="16" spans="1:8">
      <c r="B16" s="47" t="s">
        <v>68</v>
      </c>
    </row>
    <row r="17" spans="1:8">
      <c r="A17" s="49"/>
      <c r="B17" s="151"/>
      <c r="C17" s="151"/>
      <c r="D17" s="151"/>
      <c r="E17" s="151"/>
      <c r="F17" s="151"/>
      <c r="G17" s="151"/>
      <c r="H17" s="151"/>
    </row>
    <row r="18" spans="1:8">
      <c r="A18" s="49"/>
      <c r="B18" s="151"/>
      <c r="C18" s="151"/>
      <c r="D18" s="151"/>
      <c r="E18" s="151"/>
      <c r="F18" s="151"/>
      <c r="G18" s="151"/>
      <c r="H18" s="151"/>
    </row>
    <row r="19" spans="1:8">
      <c r="A19" s="23"/>
      <c r="B19" s="23" t="str">
        <f>IF('Configure Products'!F1=0,"Standard Quotation",IF('Configure Products'!F1=2,"Academic Quotation"))</f>
        <v>Standard Quotation</v>
      </c>
      <c r="C19" s="23"/>
      <c r="D19" s="23"/>
      <c r="E19" s="23"/>
      <c r="F19" s="23"/>
      <c r="G19" s="23"/>
      <c r="H19" s="23"/>
    </row>
    <row r="20" spans="1:8">
      <c r="A20" s="42"/>
      <c r="B20" s="124" t="s">
        <v>252</v>
      </c>
      <c r="C20" s="42"/>
      <c r="D20" s="42"/>
      <c r="E20" s="42"/>
      <c r="F20" s="42"/>
      <c r="G20" s="42"/>
      <c r="H20" s="42"/>
    </row>
    <row r="21" spans="1:8">
      <c r="A21" s="49"/>
      <c r="B21" s="49" t="s">
        <v>241</v>
      </c>
      <c r="C21" s="49"/>
      <c r="D21" s="49" t="s">
        <v>0</v>
      </c>
      <c r="E21" s="49"/>
      <c r="F21" s="49"/>
      <c r="G21" s="125" t="s">
        <v>16</v>
      </c>
      <c r="H21" s="125" t="s">
        <v>69</v>
      </c>
    </row>
    <row r="22" spans="1:8">
      <c r="A22" s="49"/>
      <c r="B22" s="136" t="str">
        <f>IF('Configure Products'!C18=0,"", CONCATENATE(Skews!A78))</f>
        <v/>
      </c>
      <c r="C22" s="49"/>
      <c r="D22" s="140" t="str">
        <f>IF('Configure Products'!C18=0,"", CONCATENATE('Configure Products'!B18))</f>
        <v/>
      </c>
      <c r="E22" s="49"/>
      <c r="F22" s="49"/>
      <c r="G22" s="141" t="str">
        <f>IF('Configure Products'!C18=0,"", 'Configure Products'!C18)</f>
        <v/>
      </c>
      <c r="H22" s="142" t="str">
        <f>IF('Configure Products'!C18=0,"",IF('Configure Products'!F1=0,'Configure Products'!F18,IF('Configure Products'!F1=1,'Configure Products'!G18,IF('Configure Products'!F1=2,'Configure Products'!H18))))</f>
        <v/>
      </c>
    </row>
    <row r="23" spans="1:8">
      <c r="B23" s="38" t="str">
        <f>IF('Configure Products'!C22=0,"", CONCATENATE(Skews!A9))</f>
        <v/>
      </c>
      <c r="D23" s="133" t="str">
        <f>IF('Configure Products'!C22=0,"", CONCATENATE('Configure Products'!B22))</f>
        <v/>
      </c>
      <c r="G23" s="46" t="str">
        <f>IF('Configure Products'!C22=0,"", 'Configure Products'!C22)</f>
        <v/>
      </c>
      <c r="H23" s="29" t="str">
        <f>IF('Configure Products'!C22=0,"",IF('Configure Products'!F1=0,'Configure Products'!F22,IF('Configure Products'!F1=1,'Configure Products'!G22,IF('Configure Products'!F1=2,'Configure Products'!H22))))</f>
        <v/>
      </c>
    </row>
    <row r="24" spans="1:8">
      <c r="A24" s="36"/>
      <c r="B24" s="134" t="str">
        <f>IF('Configure Products'!C23=0,"", CONCATENATE(Skews!A82))</f>
        <v/>
      </c>
      <c r="C24" s="36"/>
      <c r="D24" s="4" t="str">
        <f>IF('Configure Products'!C23=0,"", CONCATENATE('Configure Products'!B23))</f>
        <v/>
      </c>
      <c r="E24" s="36"/>
      <c r="F24" s="36"/>
      <c r="G24" s="45" t="str">
        <f>IF('Configure Products'!C23=0,"", 'Configure Products'!C23)</f>
        <v/>
      </c>
      <c r="H24" s="135" t="str">
        <f>IF('Configure Products'!C23=0,"",IF('Configure Products'!F1=0,'Configure Products'!F23,IF('Configure Products'!F1=1,'Configure Products'!G23,IF('Configure Products'!F1=2,'Configure Products'!H23))))</f>
        <v/>
      </c>
    </row>
    <row r="25" spans="1:8">
      <c r="B25" s="38" t="str">
        <f>IF('Configure Products'!C25=0,"", CONCATENATE(Skews!A66))</f>
        <v/>
      </c>
      <c r="D25" s="133" t="str">
        <f>IF('Configure Products'!C25=0,"", CONCATENATE('Configure Products'!B25))</f>
        <v/>
      </c>
      <c r="G25" s="46" t="str">
        <f>IF('Configure Products'!C25=0,"", 'Configure Products'!C25)</f>
        <v/>
      </c>
      <c r="H25" s="29" t="str">
        <f>IF('Configure Products'!C25=0,"",IF('Configure Products'!F1=0,'Configure Products'!F25,IF('Configure Products'!F1=1,'Configure Products'!G25,IF('Configure Products'!F1=2,'Configure Products'!H25))))</f>
        <v/>
      </c>
    </row>
    <row r="26" spans="1:8">
      <c r="A26" s="36"/>
      <c r="B26" s="134" t="str">
        <f>IF('Configure Products'!C26=0,"", CONCATENATE(Skews!A70))</f>
        <v/>
      </c>
      <c r="C26" s="36"/>
      <c r="D26" s="4" t="str">
        <f>IF('Configure Products'!C26=0,"", CONCATENATE('Configure Products'!B26))</f>
        <v/>
      </c>
      <c r="E26" s="36"/>
      <c r="F26" s="36"/>
      <c r="G26" s="45" t="str">
        <f>IF('Configure Products'!C26=0,"", 'Configure Products'!C26)</f>
        <v/>
      </c>
      <c r="H26" s="135" t="str">
        <f>IF('Configure Products'!C26=0,"",IF('Configure Products'!F1=0,'Configure Products'!F26,IF('Configure Products'!F1=1,'Configure Products'!G26,IF('Configure Products'!F1=2,'Configure Products'!H26))))</f>
        <v/>
      </c>
    </row>
    <row r="27" spans="1:8" s="26" customFormat="1">
      <c r="B27" s="27" t="str">
        <f>IF('Configure Products'!C19=0,"", CONCATENATE(Skews!A10))</f>
        <v/>
      </c>
      <c r="D27" s="5" t="str">
        <f>IF('Configure Products'!C19=0,"", CONCATENATE('Configure Products'!B19))</f>
        <v/>
      </c>
      <c r="G27" s="143" t="str">
        <f>IF('Configure Products'!C19=0,"", 'Configure Products'!C19)</f>
        <v/>
      </c>
      <c r="H27" s="29" t="str">
        <f>IF('Configure Products'!C19=0,"",IF('Configure Products'!F1=0,'Configure Products'!F19,IF('Configure Products'!F1=1,'Configure Products'!G19,IF('Configure Products'!F1=2,'Configure Products'!H19))))</f>
        <v/>
      </c>
    </row>
    <row r="28" spans="1:8" s="26" customFormat="1">
      <c r="A28" s="36"/>
      <c r="B28" s="134" t="str">
        <f>IF('Configure Products'!C20=0,"", CONCATENATE(Skews!A11))</f>
        <v/>
      </c>
      <c r="C28" s="36"/>
      <c r="D28" s="4" t="str">
        <f>IF('Configure Products'!C20=0,"", CONCATENATE('Configure Products'!B20))</f>
        <v/>
      </c>
      <c r="E28" s="36"/>
      <c r="F28" s="36"/>
      <c r="G28" s="45" t="str">
        <f>IF('Configure Products'!C20=0,"", 'Configure Products'!C20)</f>
        <v/>
      </c>
      <c r="H28" s="135" t="str">
        <f>IF('Configure Products'!C20=0,"",IF('Configure Products'!F1=0,'Configure Products'!F20,IF('Configure Products'!F1=1,'Configure Products'!G20,IF('Configure Products'!F1=2,'Configure Products'!H20))))</f>
        <v/>
      </c>
    </row>
    <row r="29" spans="1:8">
      <c r="A29" s="42"/>
      <c r="B29" s="124" t="s">
        <v>242</v>
      </c>
      <c r="C29" s="42"/>
      <c r="D29" s="42"/>
      <c r="E29" s="42"/>
      <c r="F29" s="42"/>
      <c r="G29" s="42"/>
      <c r="H29" s="132" t="str">
        <f>IF(AND('Configure Products'!C22=0,'Configure Products'!C19=0,'Configure Products'!C20=0),"",IF('Configure Products'!C27=0,"",IF('Configure Products'!F1=0,'Configure Products'!F27,IF('Configure Products'!F1=1,'Configure Products'!G27,IF('Configure Products'!F1=2,'Configure Products'!H27)))))</f>
        <v/>
      </c>
    </row>
    <row r="30" spans="1:8">
      <c r="A30" s="137"/>
      <c r="B30" s="138" t="str">
        <f>IF(AND('Configure Products'!C22=0,'Configure Products'!C19=0,'Configure Products'!C20=0),"",IF('Configure Products'!C28=0,"",IF('Configure Products'!C28=1,"Included",IF('Configure Products'!C28=2, CONCATENATE(Skews!A14),IF('Configure Products'!C28=3, CONCATENATE(Skews!A15), IF('Configure Products'!C28=4, CONCATENATE(Skews!A16), IF('Configure Products'!C28=5, CONCATENATE(Skews!A17), IF('Configure Products'!C28=6, CONCATENATE(Skews!A18), IF('Configure Products'!C28=7, CONCATENATE(Skews!A19), IF('Configure Products'!C28=8, CONCATENATE(Skews!A20), IF('Configure Products'!C28&gt;8, "error - upto 8 GPUs only")))))))))))</f>
        <v/>
      </c>
      <c r="C30" s="137"/>
      <c r="D30" s="137" t="str">
        <f>IF(AND('Configure Products'!C22=0,'Configure Products'!C19=0,'Configure Products'!C20=0),"",IF('Configure Products'!C28=0,"", CONCATENATE('Configure Products'!B28)))</f>
        <v/>
      </c>
      <c r="E30" s="137"/>
      <c r="F30" s="137"/>
      <c r="G30" s="137"/>
      <c r="H30" s="137"/>
    </row>
    <row r="31" spans="1:8">
      <c r="A31" s="137"/>
      <c r="B31" s="139" t="str">
        <f>IF(AND('Configure Products'!C22&lt;2,'Configure Products'!C19=0,'Configure Products'!C20=0),"",IF('Configure Products'!C29=0,"",IF('Configure Products'!C29=1,"Included",IF('Configure Products'!C29=2, CONCATENATE(Skews!A14),IF('Configure Products'!C29=3, CONCATENATE(Skews!A15), IF('Configure Products'!C29=4, CONCATENATE(Skews!A16), IF('Configure Products'!C29=5, CONCATENATE(Skews!A17), IF('Configure Products'!C29=6, CONCATENATE(Skews!A18), IF('Configure Products'!C29=7, CONCATENATE(Skews!A19), IF('Configure Products'!C29=8, CONCATENATE(Skews!A20), IF('Configure Products'!C29&gt;8, "error - upto 8 GPUs only")))))))))))</f>
        <v/>
      </c>
      <c r="C31" s="137"/>
      <c r="D31" s="137" t="str">
        <f>IF(AND('Configure Products'!C22&lt;2,'Configure Products'!C19=0,'Configure Products'!C20=0),"",IF('Configure Products'!C29=0,"",CONCATENATE('Configure Products'!B29)))</f>
        <v/>
      </c>
      <c r="E31" s="137"/>
      <c r="F31" s="137"/>
      <c r="G31" s="137"/>
      <c r="H31" s="137"/>
    </row>
    <row r="32" spans="1:8">
      <c r="A32" s="137"/>
      <c r="B32" s="139" t="str">
        <f>IF(AND('Configure Products'!C22&lt;3,'Configure Products'!C19=0,'Configure Products'!C20=0),"",IF('Configure Products'!C30=0,"",IF('Configure Products'!C30=1,"Included",IF('Configure Products'!C30=2, CONCATENATE(Skews!A14),IF('Configure Products'!C30=3, CONCATENATE(Skews!A15), IF('Configure Products'!C30=4, CONCATENATE(Skews!A16), IF('Configure Products'!C30=5, CONCATENATE(Skews!A17), IF('Configure Products'!C30=6, CONCATENATE(Skews!A18), IF('Configure Products'!C30=7, CONCATENATE(Skews!A19), IF('Configure Products'!C30=8, CONCATENATE(Skews!A20), IF('Configure Products'!C30&gt;8, "error - upto 8 GPUs only")))))))))))</f>
        <v/>
      </c>
      <c r="C32" s="137"/>
      <c r="D32" s="137" t="str">
        <f>IF(AND('Configure Products'!C22&lt;3,'Configure Products'!C19=0,'Configure Products'!C20=0),"",IF('Configure Products'!C30=0,"",IF('Configure Products'!C30=0,"", CONCATENATE('Configure Products'!B30))))</f>
        <v/>
      </c>
      <c r="E32" s="137"/>
      <c r="F32" s="137"/>
      <c r="G32" s="137"/>
      <c r="H32" s="137"/>
    </row>
    <row r="33" spans="1:8">
      <c r="A33" s="137"/>
      <c r="B33" s="139" t="str">
        <f>IF(AND('Configure Products'!C22&lt;4,'Configure Products'!C19=0,'Configure Products'!C20=0),"",IF('Configure Products'!C31=0,"",IF('Configure Products'!C31=1,"Included",IF('Configure Products'!C31=2, CONCATENATE(Skews!A14),IF('Configure Products'!C31=3, CONCATENATE(Skews!A15), IF('Configure Products'!C31=4, CONCATENATE(Skews!A16), IF('Configure Products'!C31=5, CONCATENATE(Skews!A17), IF('Configure Products'!C31=6, CONCATENATE(Skews!A18), IF('Configure Products'!C31=7, CONCATENATE(Skews!A19), IF('Configure Products'!C31=8, CONCATENATE(Skews!A20), IF('Configure Products'!C31&gt;8, "error - upto 8 GPUs only")))))))))))</f>
        <v/>
      </c>
      <c r="C33" s="137"/>
      <c r="D33" s="137" t="str">
        <f>IF(AND('Configure Products'!C22&lt;4,'Configure Products'!C19=0,'Configure Products'!C20=0),"",IF('Configure Products'!C31=0,"",IF('Configure Products'!C31=0,"", CONCATENATE('Configure Products'!B31))))</f>
        <v/>
      </c>
      <c r="E33" s="137"/>
      <c r="F33" s="137"/>
      <c r="G33" s="137"/>
      <c r="H33" s="137"/>
    </row>
    <row r="34" spans="1:8">
      <c r="A34" s="137"/>
      <c r="B34" s="139" t="str">
        <f>IF(AND('Configure Products'!C22&lt;5,'Configure Products'!C19=0,'Configure Products'!C20=0),"",IF('Configure Products'!C32=0,"",IF('Configure Products'!C32=1,"Included",IF('Configure Products'!C32=2, CONCATENATE(Skews!A14),IF('Configure Products'!C32=3, CONCATENATE(Skews!A15), IF('Configure Products'!C32=4, CONCATENATE(Skews!A16), IF('Configure Products'!C32=5, CONCATENATE(Skews!A17), IF('Configure Products'!C32=6, CONCATENATE(Skews!A18), IF('Configure Products'!C32=7, CONCATENATE(Skews!A19), IF('Configure Products'!C32=8, CONCATENATE(Skews!A20), IF('Configure Products'!C32&gt;8, "error - upto 8 GPUS only")))))))))))</f>
        <v/>
      </c>
      <c r="C34" s="137"/>
      <c r="D34" s="137" t="str">
        <f>IF(AND('Configure Products'!C22&lt;5,'Configure Products'!C19=0,'Configure Products'!C20=0),"",IF('Configure Products'!C32=0,"",IF('Configure Products'!C32=0,"", CONCATENATE('Configure Products'!B32))))</f>
        <v/>
      </c>
      <c r="E34" s="137"/>
      <c r="F34" s="137"/>
      <c r="G34" s="137"/>
      <c r="H34" s="137"/>
    </row>
    <row r="35" spans="1:8">
      <c r="A35" s="36"/>
      <c r="B35" s="134" t="str">
        <f>IF(AND('Configure Products'!C22=0,'Configure Products'!C19=0,'Configure Products'!C20=0),"",IF('Configure Products'!C33=0, "", IF('Configure Products'!C33&lt;8,"ERROR - 8+ GPUs only",CONCATENATE("JKT-HPC",'Configure Products'!C33,"G-PER"))))</f>
        <v/>
      </c>
      <c r="C35" s="36"/>
      <c r="D35" s="36" t="str">
        <f>IF(AND('Configure Products'!C22=0,'Configure Products'!C19=0,'Configure Products'!C20=0),"",IF('Configure Products'!C22=0,"",IF('Configure Products'!C33=0,"", IF('Configure Products'!C33&lt;8,"",CONCATENATE('Configure Products'!A33," license for ", 'Configure Products'!C33, " GPU Cluster")))))</f>
        <v/>
      </c>
      <c r="E35" s="36"/>
      <c r="F35" s="36"/>
      <c r="G35" s="36"/>
      <c r="H35" s="135" t="str">
        <f>IF('Configure Products'!C33=0,"",IF('Configure Products'!C33&lt;8,"ERROR - 8+ GPUs only",IF('Configure Products'!F1=0,'Configure Products'!F33,IF('Configure Products'!F1=1,'Configure Products'!G33,IF('Configure Products'!F1=2,'Configure Products'!H33)))))</f>
        <v/>
      </c>
    </row>
    <row r="36" spans="1:8">
      <c r="A36" s="42"/>
      <c r="B36" s="124" t="s">
        <v>254</v>
      </c>
      <c r="C36" s="42"/>
      <c r="D36" s="42"/>
      <c r="E36" s="42"/>
      <c r="F36" s="42"/>
      <c r="G36" s="42"/>
      <c r="H36" s="42"/>
    </row>
    <row r="37" spans="1:8">
      <c r="A37" s="49"/>
      <c r="B37" s="136" t="str">
        <f>IF('Configure Products'!C37=0,"", CONCATENATE('Configure Products'!A37))</f>
        <v>Software Maintenance Services</v>
      </c>
      <c r="C37" s="49"/>
      <c r="D37" s="49"/>
      <c r="E37" s="49"/>
      <c r="F37" s="49"/>
      <c r="G37" s="49"/>
      <c r="H37" s="142">
        <f>IF('Configure Products'!C37=0,"",IF('Configure Products'!F1=0,'Configure Products'!F37,IF('Configure Products'!F1=1,'Configure Products'!G37,IF('Configure Products'!F1=2,'Configure Products'!H37))))</f>
        <v>0</v>
      </c>
    </row>
    <row r="38" spans="1:8">
      <c r="B38" s="27" t="str">
        <f>IF('Configure Products'!C38=0,"", CONCATENATE('Configure Products'!A38))</f>
        <v>Telephone Support</v>
      </c>
      <c r="H38" s="29">
        <f>IF('Configure Products'!C38=0,"",IF('Configure Products'!F1=0,'Configure Products'!F38,IF('Configure Products'!F1=1,'Configure Products'!G38,IF('Configure Products'!F1=2,'Configure Products'!H38))))</f>
        <v>0</v>
      </c>
    </row>
    <row r="39" spans="1:8">
      <c r="A39" s="49"/>
      <c r="B39" s="136" t="str">
        <f>IF('Configure Products'!C39=0,"", CONCATENATE('Configure Products'!A39))</f>
        <v/>
      </c>
      <c r="C39" s="49"/>
      <c r="D39" s="49"/>
      <c r="E39" s="49"/>
      <c r="F39" s="49"/>
      <c r="G39" s="49"/>
      <c r="H39" s="142" t="str">
        <f>IF('Configure Products'!C39=0,"",IF('Configure Products'!F1=0,'Configure Products'!F39,IF('Configure Products'!F1=1,'Configure Products'!G39,IF('Configure Products'!F1=2,'Configure Products'!H39))))</f>
        <v/>
      </c>
    </row>
    <row r="40" spans="1:8" ht="10.5" customHeight="1">
      <c r="A40" s="23"/>
      <c r="B40" s="23"/>
      <c r="C40" s="23"/>
      <c r="D40" s="23"/>
      <c r="E40" s="23"/>
      <c r="F40" s="23"/>
      <c r="G40" s="23"/>
      <c r="H40" s="23"/>
    </row>
    <row r="41" spans="1:8" ht="15.75">
      <c r="A41" s="144"/>
      <c r="B41" s="144" t="s">
        <v>255</v>
      </c>
      <c r="C41" s="144"/>
      <c r="D41" s="144"/>
      <c r="E41" s="144"/>
      <c r="F41" s="144"/>
      <c r="G41" s="144"/>
      <c r="H41" s="145">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K179"/>
  <sheetViews>
    <sheetView workbookViewId="0">
      <selection activeCell="A29" sqref="A29:D29"/>
    </sheetView>
  </sheetViews>
  <sheetFormatPr defaultRowHeight="15"/>
  <cols>
    <col min="1" max="1" width="36.42578125" style="120" customWidth="1"/>
    <col min="2" max="2" width="81.7109375" customWidth="1"/>
    <col min="3" max="3" width="16" style="121" customWidth="1"/>
    <col min="4" max="4" width="16.42578125" style="123" customWidth="1"/>
  </cols>
  <sheetData>
    <row r="1" spans="1:11" s="51" customFormat="1" ht="14.25">
      <c r="A1" s="50"/>
      <c r="B1" s="50"/>
      <c r="C1" s="50"/>
    </row>
    <row r="2" spans="1:11" s="52" customFormat="1" ht="41.25" customHeight="1">
      <c r="A2" s="201" t="s">
        <v>80</v>
      </c>
      <c r="B2" s="202"/>
      <c r="C2" s="202"/>
      <c r="D2" s="202"/>
    </row>
    <row r="3" spans="1:11" s="53" customFormat="1">
      <c r="A3" s="203" t="s">
        <v>307</v>
      </c>
      <c r="B3" s="203"/>
      <c r="C3" s="203"/>
      <c r="D3" s="204"/>
    </row>
    <row r="4" spans="1:11" s="55" customFormat="1" ht="16.5" thickBot="1">
      <c r="A4" s="205" t="s">
        <v>81</v>
      </c>
      <c r="B4" s="206"/>
      <c r="C4" s="54"/>
    </row>
    <row r="5" spans="1:11" s="53" customFormat="1" ht="15.75" thickBot="1">
      <c r="A5" s="207"/>
      <c r="B5" s="208"/>
      <c r="C5" s="208"/>
      <c r="D5" s="209"/>
    </row>
    <row r="6" spans="1:11" s="53" customFormat="1" ht="18.75" customHeight="1">
      <c r="A6" s="210" t="s">
        <v>43</v>
      </c>
      <c r="B6" s="211"/>
      <c r="C6" s="55"/>
    </row>
    <row r="7" spans="1:11" s="53" customFormat="1" ht="19.5">
      <c r="A7" s="57" t="s">
        <v>4</v>
      </c>
      <c r="B7" s="56"/>
    </row>
    <row r="8" spans="1:11" s="53" customFormat="1" ht="19.5">
      <c r="A8" s="58" t="s">
        <v>31</v>
      </c>
      <c r="B8" s="59" t="s">
        <v>0</v>
      </c>
      <c r="C8" s="60" t="s">
        <v>82</v>
      </c>
      <c r="D8" s="61" t="s">
        <v>83</v>
      </c>
    </row>
    <row r="9" spans="1:11" s="53" customFormat="1" ht="107.25" customHeight="1">
      <c r="A9" s="62" t="s">
        <v>32</v>
      </c>
      <c r="B9" s="63" t="s">
        <v>289</v>
      </c>
      <c r="C9" s="64">
        <v>999</v>
      </c>
      <c r="D9" s="65">
        <v>350</v>
      </c>
    </row>
    <row r="10" spans="1:11" s="53" customFormat="1" ht="107.25" customHeight="1">
      <c r="A10" s="66" t="s">
        <v>84</v>
      </c>
      <c r="B10" s="67" t="s">
        <v>290</v>
      </c>
      <c r="C10" s="68">
        <f>(C9*5)*0.8</f>
        <v>3996</v>
      </c>
      <c r="D10" s="69">
        <f>C10-(C10*0.65)</f>
        <v>1398.6</v>
      </c>
      <c r="E10" s="52"/>
      <c r="F10" s="52"/>
      <c r="G10" s="52"/>
      <c r="H10" s="52"/>
      <c r="I10" s="52"/>
      <c r="J10" s="52"/>
      <c r="K10" s="52"/>
    </row>
    <row r="11" spans="1:11" s="53" customFormat="1" ht="107.25" customHeight="1">
      <c r="A11" s="62" t="s">
        <v>85</v>
      </c>
      <c r="B11" s="63" t="s">
        <v>291</v>
      </c>
      <c r="C11" s="158">
        <f>(C9*10)*0.8</f>
        <v>7992</v>
      </c>
      <c r="D11" s="65">
        <f>C11-(C11*0.65)</f>
        <v>2797.2</v>
      </c>
      <c r="E11" s="52"/>
      <c r="F11" s="52"/>
      <c r="G11" s="52"/>
      <c r="H11" s="52"/>
      <c r="I11" s="52"/>
      <c r="J11" s="52"/>
      <c r="K11" s="52"/>
    </row>
    <row r="12" spans="1:11" s="53" customFormat="1" ht="21.75" customHeight="1" thickBot="1">
      <c r="A12" s="157" t="s">
        <v>86</v>
      </c>
    </row>
    <row r="13" spans="1:11" s="53" customFormat="1" ht="21.75" customHeight="1" thickBot="1">
      <c r="A13" s="70" t="s">
        <v>31</v>
      </c>
      <c r="B13" s="71" t="s">
        <v>0</v>
      </c>
      <c r="C13" s="199" t="s">
        <v>87</v>
      </c>
      <c r="D13" s="200"/>
    </row>
    <row r="14" spans="1:11" s="53" customFormat="1" ht="73.5" customHeight="1">
      <c r="A14" s="66" t="s">
        <v>88</v>
      </c>
      <c r="B14" s="67" t="s">
        <v>89</v>
      </c>
      <c r="C14" s="72">
        <f>750*1</f>
        <v>750</v>
      </c>
      <c r="D14" s="73">
        <f t="shared" ref="D14:D26" si="0">C14-(C14*0.65)</f>
        <v>262.5</v>
      </c>
    </row>
    <row r="15" spans="1:11" s="53" customFormat="1" ht="73.5" customHeight="1">
      <c r="A15" s="74" t="s">
        <v>90</v>
      </c>
      <c r="B15" s="63" t="s">
        <v>91</v>
      </c>
      <c r="C15" s="75">
        <f>750*2</f>
        <v>1500</v>
      </c>
      <c r="D15" s="65">
        <f t="shared" si="0"/>
        <v>525</v>
      </c>
    </row>
    <row r="16" spans="1:11" s="53" customFormat="1" ht="73.5" customHeight="1">
      <c r="A16" s="76" t="s">
        <v>92</v>
      </c>
      <c r="B16" s="67" t="s">
        <v>93</v>
      </c>
      <c r="C16" s="72">
        <f>750*3</f>
        <v>2250</v>
      </c>
      <c r="D16" s="69">
        <f t="shared" si="0"/>
        <v>787.5</v>
      </c>
    </row>
    <row r="17" spans="1:4" s="53" customFormat="1" ht="66">
      <c r="A17" s="77" t="s">
        <v>94</v>
      </c>
      <c r="B17" s="78" t="s">
        <v>95</v>
      </c>
      <c r="C17" s="75">
        <f>750*4</f>
        <v>3000</v>
      </c>
      <c r="D17" s="65">
        <f t="shared" si="0"/>
        <v>1050</v>
      </c>
    </row>
    <row r="18" spans="1:4" s="53" customFormat="1" ht="66">
      <c r="A18" s="79" t="s">
        <v>96</v>
      </c>
      <c r="B18" s="80" t="s">
        <v>97</v>
      </c>
      <c r="C18" s="72">
        <f>750*5</f>
        <v>3750</v>
      </c>
      <c r="D18" s="69">
        <f t="shared" si="0"/>
        <v>1312.5</v>
      </c>
    </row>
    <row r="19" spans="1:4" s="53" customFormat="1" ht="66">
      <c r="A19" s="77" t="s">
        <v>98</v>
      </c>
      <c r="B19" s="78" t="s">
        <v>99</v>
      </c>
      <c r="C19" s="75">
        <f>750*6</f>
        <v>4500</v>
      </c>
      <c r="D19" s="65">
        <f t="shared" si="0"/>
        <v>1575</v>
      </c>
    </row>
    <row r="20" spans="1:4" s="53" customFormat="1" ht="66">
      <c r="A20" s="79" t="s">
        <v>100</v>
      </c>
      <c r="B20" s="80" t="s">
        <v>101</v>
      </c>
      <c r="C20" s="72">
        <f>750*7</f>
        <v>5250</v>
      </c>
      <c r="D20" s="69">
        <f t="shared" si="0"/>
        <v>1837.5</v>
      </c>
    </row>
    <row r="21" spans="1:4" s="53" customFormat="1" ht="66">
      <c r="A21" s="77" t="s">
        <v>102</v>
      </c>
      <c r="B21" s="78" t="s">
        <v>103</v>
      </c>
      <c r="C21" s="81">
        <f>500*11</f>
        <v>5500</v>
      </c>
      <c r="D21" s="65">
        <f t="shared" si="0"/>
        <v>1925</v>
      </c>
    </row>
    <row r="22" spans="1:4" s="53" customFormat="1" ht="66">
      <c r="A22" s="79" t="s">
        <v>104</v>
      </c>
      <c r="B22" s="80" t="s">
        <v>105</v>
      </c>
      <c r="C22" s="82">
        <f>500*15</f>
        <v>7500</v>
      </c>
      <c r="D22" s="69">
        <f t="shared" si="0"/>
        <v>2625</v>
      </c>
    </row>
    <row r="23" spans="1:4" s="53" customFormat="1" ht="66">
      <c r="A23" s="77" t="s">
        <v>106</v>
      </c>
      <c r="B23" s="78" t="s">
        <v>107</v>
      </c>
      <c r="C23" s="81">
        <f>500*31</f>
        <v>15500</v>
      </c>
      <c r="D23" s="65">
        <f t="shared" si="0"/>
        <v>5425</v>
      </c>
    </row>
    <row r="24" spans="1:4" s="53" customFormat="1" ht="66">
      <c r="A24" s="79" t="s">
        <v>108</v>
      </c>
      <c r="B24" s="80" t="s">
        <v>109</v>
      </c>
      <c r="C24" s="82">
        <f>500*63</f>
        <v>31500</v>
      </c>
      <c r="D24" s="69">
        <f t="shared" si="0"/>
        <v>11025</v>
      </c>
    </row>
    <row r="25" spans="1:4" s="53" customFormat="1" ht="66">
      <c r="A25" s="77" t="s">
        <v>110</v>
      </c>
      <c r="B25" s="78" t="s">
        <v>111</v>
      </c>
      <c r="C25" s="81">
        <f>500*127</f>
        <v>63500</v>
      </c>
      <c r="D25" s="65">
        <f t="shared" si="0"/>
        <v>22225</v>
      </c>
    </row>
    <row r="26" spans="1:4" s="53" customFormat="1" ht="66">
      <c r="A26" s="79" t="s">
        <v>112</v>
      </c>
      <c r="B26" s="80" t="s">
        <v>113</v>
      </c>
      <c r="C26" s="82">
        <f>500*255</f>
        <v>127500</v>
      </c>
      <c r="D26" s="69">
        <f t="shared" si="0"/>
        <v>44625</v>
      </c>
    </row>
    <row r="27" spans="1:4" s="51" customFormat="1" ht="14.25">
      <c r="A27" s="50"/>
      <c r="B27" s="50"/>
      <c r="C27" s="50"/>
    </row>
    <row r="28" spans="1:4" s="52" customFormat="1" ht="33.75">
      <c r="A28" s="201" t="s">
        <v>80</v>
      </c>
      <c r="B28" s="202"/>
      <c r="C28" s="202"/>
      <c r="D28" s="202"/>
    </row>
    <row r="29" spans="1:4" s="53" customFormat="1">
      <c r="A29" s="203" t="s">
        <v>307</v>
      </c>
      <c r="B29" s="203"/>
      <c r="C29" s="203"/>
      <c r="D29" s="204"/>
    </row>
    <row r="30" spans="1:4" s="55" customFormat="1" ht="15.75">
      <c r="A30" s="205" t="s">
        <v>81</v>
      </c>
      <c r="B30" s="206"/>
      <c r="C30" s="54"/>
    </row>
    <row r="31" spans="1:4" s="53" customFormat="1" ht="20.25" thickBot="1">
      <c r="A31" s="83" t="s">
        <v>114</v>
      </c>
    </row>
    <row r="32" spans="1:4" s="53" customFormat="1" ht="20.25" thickBot="1">
      <c r="A32" s="70" t="s">
        <v>31</v>
      </c>
      <c r="B32" s="71" t="s">
        <v>0</v>
      </c>
      <c r="C32" s="60" t="s">
        <v>82</v>
      </c>
      <c r="D32" s="61" t="s">
        <v>83</v>
      </c>
    </row>
    <row r="33" spans="1:4" s="87" customFormat="1" ht="16.5">
      <c r="A33" s="84" t="s">
        <v>115</v>
      </c>
      <c r="B33" s="85" t="s">
        <v>116</v>
      </c>
      <c r="C33" s="86">
        <f>C9*0.1</f>
        <v>99.9</v>
      </c>
      <c r="D33" s="86">
        <f>D9*0.1</f>
        <v>35</v>
      </c>
    </row>
    <row r="34" spans="1:4" s="53" customFormat="1" ht="33">
      <c r="A34" s="88" t="s">
        <v>117</v>
      </c>
      <c r="B34" s="89" t="s">
        <v>118</v>
      </c>
      <c r="C34" s="90">
        <f>(C9+C14)*0.1</f>
        <v>174.9</v>
      </c>
      <c r="D34" s="90">
        <f>(D9+D14)*0.1</f>
        <v>61.25</v>
      </c>
    </row>
    <row r="35" spans="1:4" s="53" customFormat="1" ht="33">
      <c r="A35" s="84" t="s">
        <v>119</v>
      </c>
      <c r="B35" s="85" t="s">
        <v>120</v>
      </c>
      <c r="C35" s="86">
        <f>(C9+C15)*0.1</f>
        <v>249.9</v>
      </c>
      <c r="D35" s="86">
        <f>(D9+D15)*0.1</f>
        <v>87.5</v>
      </c>
    </row>
    <row r="36" spans="1:4" s="53" customFormat="1" ht="33">
      <c r="A36" s="88" t="s">
        <v>121</v>
      </c>
      <c r="B36" s="89" t="s">
        <v>122</v>
      </c>
      <c r="C36" s="90">
        <f>(C9+C16)*0.1</f>
        <v>324.90000000000003</v>
      </c>
      <c r="D36" s="90">
        <f>(D9+D16)*0.1</f>
        <v>113.75</v>
      </c>
    </row>
    <row r="37" spans="1:4" s="53" customFormat="1" ht="33">
      <c r="A37" s="84" t="s">
        <v>123</v>
      </c>
      <c r="B37" s="85" t="s">
        <v>124</v>
      </c>
      <c r="C37" s="86">
        <f>(C9+C17)*0.1</f>
        <v>399.90000000000003</v>
      </c>
      <c r="D37" s="86">
        <f>(D9+D17)*0.1</f>
        <v>140</v>
      </c>
    </row>
    <row r="38" spans="1:4" s="53" customFormat="1" ht="33">
      <c r="A38" s="88" t="s">
        <v>125</v>
      </c>
      <c r="B38" s="89" t="s">
        <v>126</v>
      </c>
      <c r="C38" s="90">
        <f>(C9+C18)*0.1</f>
        <v>474.90000000000003</v>
      </c>
      <c r="D38" s="90">
        <f>(D9+D18)*0.1</f>
        <v>166.25</v>
      </c>
    </row>
    <row r="39" spans="1:4" s="53" customFormat="1" ht="33">
      <c r="A39" s="84" t="s">
        <v>127</v>
      </c>
      <c r="B39" s="85" t="s">
        <v>128</v>
      </c>
      <c r="C39" s="86">
        <f>(C9+C19)*0.1</f>
        <v>549.9</v>
      </c>
      <c r="D39" s="86">
        <f>(D9+D19)*0.1</f>
        <v>192.5</v>
      </c>
    </row>
    <row r="40" spans="1:4" s="53" customFormat="1" ht="33">
      <c r="A40" s="88" t="s">
        <v>129</v>
      </c>
      <c r="B40" s="89" t="s">
        <v>130</v>
      </c>
      <c r="C40" s="90">
        <f>(C9+C20)*0.1</f>
        <v>624.90000000000009</v>
      </c>
      <c r="D40" s="90">
        <f>(D9+D20)*0.1</f>
        <v>218.75</v>
      </c>
    </row>
    <row r="41" spans="1:4" s="53" customFormat="1" ht="33">
      <c r="A41" s="84" t="s">
        <v>131</v>
      </c>
      <c r="B41" s="85" t="s">
        <v>132</v>
      </c>
      <c r="C41" s="86">
        <f>(C9+C21)*0.1</f>
        <v>649.90000000000009</v>
      </c>
      <c r="D41" s="86">
        <f>(D9+D21)*0.1</f>
        <v>227.5</v>
      </c>
    </row>
    <row r="42" spans="1:4" s="53" customFormat="1" ht="33">
      <c r="A42" s="88" t="s">
        <v>133</v>
      </c>
      <c r="B42" s="89" t="s">
        <v>134</v>
      </c>
      <c r="C42" s="90">
        <f>(C9+C22)*0.1</f>
        <v>849.90000000000009</v>
      </c>
      <c r="D42" s="90">
        <f>(D9+D22)*0.1</f>
        <v>297.5</v>
      </c>
    </row>
    <row r="43" spans="1:4" s="53" customFormat="1" ht="33">
      <c r="A43" s="84" t="s">
        <v>135</v>
      </c>
      <c r="B43" s="85" t="s">
        <v>136</v>
      </c>
      <c r="C43" s="86">
        <f>(C9+C23)*0.1</f>
        <v>1649.9</v>
      </c>
      <c r="D43" s="86">
        <f>(D9+D23)*0.1</f>
        <v>577.5</v>
      </c>
    </row>
    <row r="44" spans="1:4" s="53" customFormat="1" ht="33">
      <c r="A44" s="88" t="s">
        <v>137</v>
      </c>
      <c r="B44" s="89" t="s">
        <v>138</v>
      </c>
      <c r="C44" s="90">
        <f>(C9+C24)*0.1</f>
        <v>3249.9</v>
      </c>
      <c r="D44" s="90">
        <f>(D9+D24)*0.1</f>
        <v>1137.5</v>
      </c>
    </row>
    <row r="45" spans="1:4" s="53" customFormat="1" ht="33">
      <c r="A45" s="84" t="s">
        <v>139</v>
      </c>
      <c r="B45" s="85" t="s">
        <v>140</v>
      </c>
      <c r="C45" s="86">
        <f>(C9+C25)*0.1</f>
        <v>6449.9000000000005</v>
      </c>
      <c r="D45" s="86">
        <f>(D9+D25)*0.1</f>
        <v>2257.5</v>
      </c>
    </row>
    <row r="46" spans="1:4" s="53" customFormat="1" ht="33">
      <c r="A46" s="88" t="s">
        <v>141</v>
      </c>
      <c r="B46" s="89" t="s">
        <v>142</v>
      </c>
      <c r="C46" s="90">
        <f>(C9+C26)*0.1</f>
        <v>12849.900000000001</v>
      </c>
      <c r="D46" s="90">
        <f>(D9+D26)*0.1</f>
        <v>4497.5</v>
      </c>
    </row>
    <row r="47" spans="1:4" s="53" customFormat="1" ht="20.25" thickBot="1">
      <c r="A47" s="91" t="s">
        <v>143</v>
      </c>
    </row>
    <row r="48" spans="1:4" s="53" customFormat="1" ht="20.25" thickBot="1">
      <c r="A48" s="70" t="s">
        <v>31</v>
      </c>
      <c r="B48" s="70" t="s">
        <v>0</v>
      </c>
      <c r="C48" s="92" t="s">
        <v>82</v>
      </c>
      <c r="D48" s="93" t="s">
        <v>83</v>
      </c>
    </row>
    <row r="49" spans="1:4" s="53" customFormat="1" ht="16.5">
      <c r="A49" s="84" t="s">
        <v>144</v>
      </c>
      <c r="B49" s="85" t="s">
        <v>145</v>
      </c>
      <c r="C49" s="94">
        <f>C9*0.2</f>
        <v>199.8</v>
      </c>
      <c r="D49" s="94">
        <f t="shared" ref="D49" si="1">D9*0.2</f>
        <v>70</v>
      </c>
    </row>
    <row r="50" spans="1:4" s="53" customFormat="1" ht="16.5">
      <c r="A50" s="88" t="s">
        <v>146</v>
      </c>
      <c r="B50" s="89" t="s">
        <v>147</v>
      </c>
      <c r="C50" s="90">
        <f>(C9+C14)*0.2</f>
        <v>349.8</v>
      </c>
      <c r="D50" s="90">
        <f t="shared" ref="D50" si="2">(D9+D14)*0.2</f>
        <v>122.5</v>
      </c>
    </row>
    <row r="51" spans="1:4" s="53" customFormat="1" ht="16.5">
      <c r="A51" s="84" t="s">
        <v>148</v>
      </c>
      <c r="B51" s="85" t="s">
        <v>149</v>
      </c>
      <c r="C51" s="86">
        <f>(C9+C15)*0.2</f>
        <v>499.8</v>
      </c>
      <c r="D51" s="86">
        <f t="shared" ref="D51" si="3">(D9+D15)*0.2</f>
        <v>175</v>
      </c>
    </row>
    <row r="52" spans="1:4" s="53" customFormat="1" ht="16.5">
      <c r="A52" s="88" t="s">
        <v>150</v>
      </c>
      <c r="B52" s="89" t="s">
        <v>151</v>
      </c>
      <c r="C52" s="90">
        <f>(C9+C16)*0.2</f>
        <v>649.80000000000007</v>
      </c>
      <c r="D52" s="90">
        <f t="shared" ref="D52" si="4">(D9+D16)*0.2</f>
        <v>227.5</v>
      </c>
    </row>
    <row r="53" spans="1:4" s="53" customFormat="1" ht="16.5">
      <c r="A53" s="84" t="s">
        <v>152</v>
      </c>
      <c r="B53" s="85" t="s">
        <v>153</v>
      </c>
      <c r="C53" s="86">
        <f>(C9+C17)*0.2</f>
        <v>799.80000000000007</v>
      </c>
      <c r="D53" s="86">
        <f t="shared" ref="D53" si="5">(D9+D17)*0.2</f>
        <v>280</v>
      </c>
    </row>
    <row r="54" spans="1:4" s="53" customFormat="1" ht="16.5">
      <c r="A54" s="88" t="s">
        <v>154</v>
      </c>
      <c r="B54" s="89" t="s">
        <v>155</v>
      </c>
      <c r="C54" s="90">
        <f>(C9+C18)*0.2</f>
        <v>949.80000000000007</v>
      </c>
      <c r="D54" s="90">
        <f t="shared" ref="D54" si="6">(D9+D18)*0.2</f>
        <v>332.5</v>
      </c>
    </row>
    <row r="55" spans="1:4" s="53" customFormat="1" ht="16.5">
      <c r="A55" s="84" t="s">
        <v>156</v>
      </c>
      <c r="B55" s="85" t="s">
        <v>157</v>
      </c>
      <c r="C55" s="86">
        <f>(C9+C19)*0.2</f>
        <v>1099.8</v>
      </c>
      <c r="D55" s="86">
        <f t="shared" ref="D55" si="7">(D9+D19)*0.2</f>
        <v>385</v>
      </c>
    </row>
    <row r="56" spans="1:4" s="53" customFormat="1" ht="16.5">
      <c r="A56" s="88" t="s">
        <v>158</v>
      </c>
      <c r="B56" s="89" t="s">
        <v>159</v>
      </c>
      <c r="C56" s="90">
        <f>(C9+C20)*0.2</f>
        <v>1249.8000000000002</v>
      </c>
      <c r="D56" s="90">
        <f t="shared" ref="D56" si="8">(D9+D20)*0.2</f>
        <v>437.5</v>
      </c>
    </row>
    <row r="57" spans="1:4" s="53" customFormat="1" ht="16.5">
      <c r="A57" s="84" t="s">
        <v>160</v>
      </c>
      <c r="B57" s="85" t="s">
        <v>161</v>
      </c>
      <c r="C57" s="86">
        <f>(C9+C21)*0.2</f>
        <v>1299.8000000000002</v>
      </c>
      <c r="D57" s="86">
        <f t="shared" ref="D57" si="9">(D9+D21)*0.2</f>
        <v>455</v>
      </c>
    </row>
    <row r="58" spans="1:4" s="53" customFormat="1" ht="16.5">
      <c r="A58" s="88" t="s">
        <v>162</v>
      </c>
      <c r="B58" s="89" t="s">
        <v>163</v>
      </c>
      <c r="C58" s="90">
        <f>(C9+C22)*0.2</f>
        <v>1699.8000000000002</v>
      </c>
      <c r="D58" s="90">
        <f t="shared" ref="D58" si="10">(D9+D22)*0.2</f>
        <v>595</v>
      </c>
    </row>
    <row r="59" spans="1:4" s="53" customFormat="1" ht="16.5">
      <c r="A59" s="84" t="s">
        <v>164</v>
      </c>
      <c r="B59" s="85" t="s">
        <v>165</v>
      </c>
      <c r="C59" s="86">
        <f>(C9+C23)*0.2</f>
        <v>3299.8</v>
      </c>
      <c r="D59" s="86">
        <f t="shared" ref="D59" si="11">(D9+D23)*0.2</f>
        <v>1155</v>
      </c>
    </row>
    <row r="60" spans="1:4" s="51" customFormat="1" ht="16.5">
      <c r="A60" s="88" t="s">
        <v>166</v>
      </c>
      <c r="B60" s="89" t="s">
        <v>167</v>
      </c>
      <c r="C60" s="90">
        <f>(C9+C24)*0.2</f>
        <v>6499.8</v>
      </c>
      <c r="D60" s="90">
        <f t="shared" ref="D60" si="12">(D9+D24)*0.2</f>
        <v>2275</v>
      </c>
    </row>
    <row r="61" spans="1:4" s="52" customFormat="1" ht="16.5">
      <c r="A61" s="84" t="s">
        <v>168</v>
      </c>
      <c r="B61" s="85" t="s">
        <v>169</v>
      </c>
      <c r="C61" s="86">
        <f>(C9+C25)*0.2</f>
        <v>12899.800000000001</v>
      </c>
      <c r="D61" s="86">
        <f t="shared" ref="D61" si="13">(D9+D25)*0.2</f>
        <v>4515</v>
      </c>
    </row>
    <row r="62" spans="1:4" s="53" customFormat="1" ht="16.5">
      <c r="A62" s="88" t="s">
        <v>170</v>
      </c>
      <c r="B62" s="89" t="s">
        <v>171</v>
      </c>
      <c r="C62" s="90">
        <f>(C9+C26)*0.2</f>
        <v>25699.800000000003</v>
      </c>
      <c r="D62" s="90">
        <f>(D9+D26)*0.2</f>
        <v>8995</v>
      </c>
    </row>
    <row r="63" spans="1:4" s="53" customFormat="1" ht="24">
      <c r="A63" s="95" t="s">
        <v>172</v>
      </c>
      <c r="C63" s="96"/>
    </row>
    <row r="64" spans="1:4" s="53" customFormat="1" ht="15" customHeight="1" thickBot="1">
      <c r="A64" s="216" t="s">
        <v>173</v>
      </c>
      <c r="B64" s="211"/>
      <c r="C64" s="96"/>
    </row>
    <row r="65" spans="1:4" s="53" customFormat="1" ht="20.25" thickBot="1">
      <c r="A65" s="70" t="s">
        <v>31</v>
      </c>
      <c r="B65" s="70" t="s">
        <v>0</v>
      </c>
      <c r="C65" s="60" t="s">
        <v>82</v>
      </c>
      <c r="D65" s="61" t="s">
        <v>83</v>
      </c>
    </row>
    <row r="66" spans="1:4" s="53" customFormat="1" ht="82.5">
      <c r="A66" s="97" t="s">
        <v>174</v>
      </c>
      <c r="B66" s="97" t="s">
        <v>175</v>
      </c>
      <c r="C66" s="98">
        <v>995</v>
      </c>
      <c r="D66" s="99">
        <f>C66-(C66*0.65)</f>
        <v>348.25</v>
      </c>
    </row>
    <row r="67" spans="1:4" s="53" customFormat="1" ht="16.5">
      <c r="A67" s="66" t="s">
        <v>176</v>
      </c>
      <c r="B67" s="67" t="s">
        <v>177</v>
      </c>
      <c r="C67" s="68">
        <f>C66*0.1</f>
        <v>99.5</v>
      </c>
      <c r="D67" s="90">
        <f>D66*0.1</f>
        <v>34.825000000000003</v>
      </c>
    </row>
    <row r="68" spans="1:4" s="53" customFormat="1" ht="24.75" thickBot="1">
      <c r="A68" s="100" t="s">
        <v>178</v>
      </c>
      <c r="B68" s="101"/>
    </row>
    <row r="69" spans="1:4" s="53" customFormat="1" ht="20.25" thickBot="1">
      <c r="A69" s="70" t="s">
        <v>31</v>
      </c>
      <c r="B69" s="70" t="s">
        <v>0</v>
      </c>
      <c r="C69" s="60" t="s">
        <v>82</v>
      </c>
      <c r="D69" s="61" t="s">
        <v>83</v>
      </c>
    </row>
    <row r="70" spans="1:4" s="53" customFormat="1" ht="33">
      <c r="A70" s="102" t="s">
        <v>41</v>
      </c>
      <c r="B70" s="103" t="s">
        <v>179</v>
      </c>
      <c r="C70" s="94">
        <v>3950</v>
      </c>
      <c r="D70" s="99">
        <f>C70-(C70*0.65)</f>
        <v>1382.5</v>
      </c>
    </row>
    <row r="71" spans="1:4" s="53" customFormat="1" ht="16.5">
      <c r="A71" s="88" t="s">
        <v>180</v>
      </c>
      <c r="B71" s="67" t="s">
        <v>181</v>
      </c>
      <c r="C71" s="68">
        <f>C70*0.1</f>
        <v>395</v>
      </c>
      <c r="D71" s="90">
        <f>D70*0.1</f>
        <v>138.25</v>
      </c>
    </row>
    <row r="72" spans="1:4" s="53" customFormat="1" ht="24.75" thickBot="1">
      <c r="A72" s="100" t="s">
        <v>243</v>
      </c>
      <c r="B72" s="101"/>
    </row>
    <row r="73" spans="1:4" s="53" customFormat="1" ht="20.25" thickBot="1">
      <c r="A73" s="70" t="s">
        <v>31</v>
      </c>
      <c r="B73" s="70" t="s">
        <v>0</v>
      </c>
      <c r="C73" s="60" t="s">
        <v>82</v>
      </c>
      <c r="D73" s="61" t="s">
        <v>83</v>
      </c>
    </row>
    <row r="74" spans="1:4" s="53" customFormat="1" ht="16.5">
      <c r="A74" s="102" t="s">
        <v>39</v>
      </c>
      <c r="B74" s="103" t="s">
        <v>244</v>
      </c>
      <c r="C74" s="94">
        <v>395</v>
      </c>
      <c r="D74" s="99">
        <f>C74-(C74*0.65)</f>
        <v>138.25</v>
      </c>
    </row>
    <row r="75" spans="1:4" s="53" customFormat="1" ht="16.5">
      <c r="A75" s="88" t="s">
        <v>245</v>
      </c>
      <c r="B75" s="67" t="s">
        <v>246</v>
      </c>
      <c r="C75" s="68">
        <f>C74*0.1</f>
        <v>39.5</v>
      </c>
      <c r="D75" s="90">
        <f>D74*0.1</f>
        <v>13.825000000000001</v>
      </c>
    </row>
    <row r="76" spans="1:4" s="53" customFormat="1" ht="24.75" thickBot="1">
      <c r="A76" s="100" t="s">
        <v>296</v>
      </c>
      <c r="B76" s="101"/>
    </row>
    <row r="77" spans="1:4" s="53" customFormat="1" ht="20.25" thickBot="1">
      <c r="A77" s="70" t="s">
        <v>31</v>
      </c>
      <c r="B77" s="70" t="s">
        <v>0</v>
      </c>
      <c r="C77" s="60" t="s">
        <v>82</v>
      </c>
      <c r="D77" s="61" t="s">
        <v>83</v>
      </c>
    </row>
    <row r="78" spans="1:4" s="53" customFormat="1" ht="16.5">
      <c r="A78" s="102" t="s">
        <v>297</v>
      </c>
      <c r="B78" s="103" t="s">
        <v>300</v>
      </c>
      <c r="C78" s="94">
        <v>395</v>
      </c>
      <c r="D78" s="99">
        <f>C78-(C78*0.65)</f>
        <v>138.25</v>
      </c>
    </row>
    <row r="79" spans="1:4" s="53" customFormat="1" ht="16.5">
      <c r="A79" s="88" t="s">
        <v>298</v>
      </c>
      <c r="B79" s="67" t="s">
        <v>299</v>
      </c>
      <c r="C79" s="68">
        <f>C78*0.1</f>
        <v>39.5</v>
      </c>
      <c r="D79" s="90">
        <f>D78*0.1</f>
        <v>13.825000000000001</v>
      </c>
    </row>
    <row r="80" spans="1:4" s="53" customFormat="1" ht="24.75" thickBot="1">
      <c r="A80" s="100" t="s">
        <v>182</v>
      </c>
      <c r="B80" s="101"/>
    </row>
    <row r="81" spans="1:4" s="53" customFormat="1" ht="20.25" thickBot="1">
      <c r="A81" s="70" t="s">
        <v>31</v>
      </c>
      <c r="B81" s="70" t="s">
        <v>0</v>
      </c>
      <c r="C81" s="60" t="s">
        <v>82</v>
      </c>
      <c r="D81" s="61" t="s">
        <v>83</v>
      </c>
    </row>
    <row r="82" spans="1:4" s="53" customFormat="1" ht="40.5" customHeight="1">
      <c r="A82" s="84" t="s">
        <v>183</v>
      </c>
      <c r="B82" s="63" t="s">
        <v>184</v>
      </c>
      <c r="C82" s="64">
        <v>3711.2</v>
      </c>
      <c r="D82" s="65">
        <f>C82-(C82*0.65)</f>
        <v>1298.92</v>
      </c>
    </row>
    <row r="83" spans="1:4" s="53" customFormat="1" ht="16.5">
      <c r="A83" s="88" t="s">
        <v>185</v>
      </c>
      <c r="B83" s="89" t="s">
        <v>186</v>
      </c>
      <c r="C83" s="68">
        <f>C82*0.1</f>
        <v>371.12</v>
      </c>
      <c r="D83" s="90">
        <f>D82*0.1</f>
        <v>129.89200000000002</v>
      </c>
    </row>
    <row r="84" spans="1:4" s="87" customFormat="1" ht="16.5">
      <c r="A84" s="104"/>
      <c r="B84" s="105"/>
      <c r="C84" s="106"/>
      <c r="D84" s="106"/>
    </row>
    <row r="85" spans="1:4" s="52" customFormat="1" ht="33.75">
      <c r="A85" s="201" t="s">
        <v>80</v>
      </c>
      <c r="B85" s="202"/>
      <c r="C85" s="202"/>
      <c r="D85" s="202"/>
    </row>
    <row r="86" spans="1:4" s="53" customFormat="1">
      <c r="A86" s="203" t="s">
        <v>307</v>
      </c>
      <c r="B86" s="203"/>
      <c r="C86" s="203"/>
      <c r="D86" s="204"/>
    </row>
    <row r="87" spans="1:4" s="55" customFormat="1" ht="16.5" thickBot="1">
      <c r="A87" s="205" t="s">
        <v>81</v>
      </c>
      <c r="B87" s="206"/>
      <c r="C87" s="54"/>
    </row>
    <row r="88" spans="1:4" s="53" customFormat="1" ht="13.5" thickBot="1">
      <c r="A88" s="107"/>
      <c r="B88" s="108"/>
      <c r="C88" s="108"/>
      <c r="D88" s="109"/>
    </row>
    <row r="89" spans="1:4" s="53" customFormat="1" ht="24">
      <c r="A89" s="212" t="s">
        <v>187</v>
      </c>
      <c r="B89" s="212"/>
    </row>
    <row r="90" spans="1:4" s="53" customFormat="1" ht="20.25" thickBot="1">
      <c r="A90" s="110" t="s">
        <v>4</v>
      </c>
      <c r="C90" s="213" t="s">
        <v>188</v>
      </c>
      <c r="D90" s="204"/>
    </row>
    <row r="91" spans="1:4" s="53" customFormat="1" ht="20.25" thickBot="1">
      <c r="A91" s="70" t="s">
        <v>31</v>
      </c>
      <c r="B91" s="70" t="s">
        <v>0</v>
      </c>
      <c r="C91" s="92" t="s">
        <v>82</v>
      </c>
      <c r="D91" s="93" t="s">
        <v>83</v>
      </c>
    </row>
    <row r="92" spans="1:4" s="53" customFormat="1" ht="181.5">
      <c r="A92" s="97" t="s">
        <v>288</v>
      </c>
      <c r="B92" s="111" t="s">
        <v>292</v>
      </c>
      <c r="C92" s="98">
        <f>C9*2.5</f>
        <v>2497.5</v>
      </c>
      <c r="D92" s="99">
        <f>C92-(C92*0.65)</f>
        <v>874.125</v>
      </c>
    </row>
    <row r="93" spans="1:4" s="53" customFormat="1" ht="20.25" thickBot="1">
      <c r="A93" s="83" t="s">
        <v>189</v>
      </c>
    </row>
    <row r="94" spans="1:4" s="53" customFormat="1" ht="20.25" thickBot="1">
      <c r="A94" s="70" t="s">
        <v>31</v>
      </c>
      <c r="B94" s="70" t="s">
        <v>0</v>
      </c>
      <c r="C94" s="214" t="s">
        <v>190</v>
      </c>
      <c r="D94" s="215"/>
    </row>
    <row r="95" spans="1:4" s="53" customFormat="1" ht="49.5">
      <c r="A95" s="97" t="s">
        <v>42</v>
      </c>
      <c r="B95" s="111" t="s">
        <v>191</v>
      </c>
      <c r="C95" s="98">
        <f>750*2.5</f>
        <v>1875</v>
      </c>
      <c r="D95" s="99">
        <f t="shared" ref="D95:D96" si="14">C95-(C95*0.65)</f>
        <v>656.25</v>
      </c>
    </row>
    <row r="96" spans="1:4" s="53" customFormat="1" ht="49.5">
      <c r="A96" s="112" t="s">
        <v>192</v>
      </c>
      <c r="B96" s="113" t="s">
        <v>193</v>
      </c>
      <c r="C96" s="114">
        <f>(750*2.5)*2</f>
        <v>3750</v>
      </c>
      <c r="D96" s="73">
        <f t="shared" si="14"/>
        <v>1312.5</v>
      </c>
    </row>
    <row r="97" spans="1:4" s="53" customFormat="1" ht="49.5">
      <c r="A97" s="62" t="s">
        <v>194</v>
      </c>
      <c r="B97" s="63" t="s">
        <v>195</v>
      </c>
      <c r="C97" s="98">
        <f>(750*2.5)*3</f>
        <v>5625</v>
      </c>
      <c r="D97" s="65">
        <f>C97-(C97*0.65)</f>
        <v>1968.75</v>
      </c>
    </row>
    <row r="98" spans="1:4" s="53" customFormat="1" ht="20.25" thickBot="1">
      <c r="A98" s="83" t="s">
        <v>196</v>
      </c>
      <c r="C98" s="96"/>
    </row>
    <row r="99" spans="1:4" s="53" customFormat="1" ht="20.25" thickBot="1">
      <c r="A99" s="70" t="s">
        <v>31</v>
      </c>
      <c r="B99" s="70" t="s">
        <v>0</v>
      </c>
      <c r="C99" s="60" t="s">
        <v>82</v>
      </c>
      <c r="D99" s="61" t="s">
        <v>83</v>
      </c>
    </row>
    <row r="100" spans="1:4" s="53" customFormat="1" ht="33">
      <c r="A100" s="97" t="s">
        <v>197</v>
      </c>
      <c r="B100" s="111" t="s">
        <v>198</v>
      </c>
      <c r="C100" s="94">
        <f>C92*0.1</f>
        <v>249.75</v>
      </c>
      <c r="D100" s="94">
        <f t="shared" ref="D100" si="15">D92*0.1</f>
        <v>87.412500000000009</v>
      </c>
    </row>
    <row r="101" spans="1:4" s="53" customFormat="1" ht="33">
      <c r="A101" s="112" t="s">
        <v>199</v>
      </c>
      <c r="B101" s="113" t="s">
        <v>200</v>
      </c>
      <c r="C101" s="116">
        <f>(C92+C95)*0.1</f>
        <v>437.25</v>
      </c>
      <c r="D101" s="116">
        <f t="shared" ref="D101" si="16">(D92+D95)*0.1</f>
        <v>153.03749999999999</v>
      </c>
    </row>
    <row r="102" spans="1:4" s="53" customFormat="1" ht="33">
      <c r="A102" s="62" t="s">
        <v>201</v>
      </c>
      <c r="B102" s="63" t="s">
        <v>202</v>
      </c>
      <c r="C102" s="86">
        <f>(C92+C96)*0.1</f>
        <v>624.75</v>
      </c>
      <c r="D102" s="86">
        <f t="shared" ref="D102" si="17">(D92+D96)*0.1</f>
        <v>218.66250000000002</v>
      </c>
    </row>
    <row r="103" spans="1:4" s="53" customFormat="1" ht="33">
      <c r="A103" s="66" t="s">
        <v>203</v>
      </c>
      <c r="B103" s="67" t="s">
        <v>204</v>
      </c>
      <c r="C103" s="90">
        <f>(C92+C97)*0.1</f>
        <v>812.25</v>
      </c>
      <c r="D103" s="90">
        <f t="shared" ref="D103" si="18">(D92+D97)*0.1</f>
        <v>284.28750000000002</v>
      </c>
    </row>
    <row r="104" spans="1:4" s="53" customFormat="1" ht="16.5">
      <c r="A104" s="97" t="s">
        <v>205</v>
      </c>
      <c r="B104" s="111" t="s">
        <v>206</v>
      </c>
      <c r="C104" s="94">
        <f>C92*0.2</f>
        <v>499.5</v>
      </c>
      <c r="D104" s="94">
        <f t="shared" ref="D104" si="19">D92*0.2</f>
        <v>174.82500000000002</v>
      </c>
    </row>
    <row r="105" spans="1:4" s="53" customFormat="1" ht="16.5">
      <c r="A105" s="112" t="s">
        <v>207</v>
      </c>
      <c r="B105" s="113" t="s">
        <v>208</v>
      </c>
      <c r="C105" s="116">
        <f>(C92+C95)*0.2</f>
        <v>874.5</v>
      </c>
      <c r="D105" s="116">
        <f t="shared" ref="D105" si="20">(D92+D95)*0.2</f>
        <v>306.07499999999999</v>
      </c>
    </row>
    <row r="106" spans="1:4" s="53" customFormat="1" ht="16.5">
      <c r="A106" s="62" t="s">
        <v>209</v>
      </c>
      <c r="B106" s="63" t="s">
        <v>210</v>
      </c>
      <c r="C106" s="86">
        <f>(C92+C96)*0.1</f>
        <v>624.75</v>
      </c>
      <c r="D106" s="86">
        <f t="shared" ref="D106" si="21">(D92+D96)*0.1</f>
        <v>218.66250000000002</v>
      </c>
    </row>
    <row r="107" spans="1:4" s="53" customFormat="1" ht="16.5">
      <c r="A107" s="66" t="s">
        <v>211</v>
      </c>
      <c r="B107" s="67" t="s">
        <v>212</v>
      </c>
      <c r="C107" s="90">
        <f>(C92+C97)*0.2</f>
        <v>1624.5</v>
      </c>
      <c r="D107" s="90">
        <f t="shared" ref="D107" si="22">(D92+D97)*0.2</f>
        <v>568.57500000000005</v>
      </c>
    </row>
    <row r="108" spans="1:4" s="53" customFormat="1" ht="24.75" thickBot="1">
      <c r="A108" s="100" t="s">
        <v>213</v>
      </c>
      <c r="C108" s="96"/>
    </row>
    <row r="109" spans="1:4" s="53" customFormat="1" ht="20.25" thickBot="1">
      <c r="A109" s="70" t="s">
        <v>31</v>
      </c>
      <c r="B109" s="70" t="s">
        <v>0</v>
      </c>
      <c r="C109" s="60" t="s">
        <v>82</v>
      </c>
      <c r="D109" s="61" t="s">
        <v>83</v>
      </c>
    </row>
    <row r="110" spans="1:4" s="53" customFormat="1" ht="82.5">
      <c r="A110" s="62" t="s">
        <v>45</v>
      </c>
      <c r="B110" s="63" t="s">
        <v>214</v>
      </c>
      <c r="C110" s="64">
        <v>4500</v>
      </c>
      <c r="D110" s="65">
        <f>C110-(C110*0.65)</f>
        <v>1575</v>
      </c>
    </row>
    <row r="111" spans="1:4" s="53" customFormat="1" ht="16.5">
      <c r="A111" s="112" t="s">
        <v>215</v>
      </c>
      <c r="B111" s="113" t="s">
        <v>216</v>
      </c>
      <c r="C111" s="114">
        <v>1000</v>
      </c>
      <c r="D111" s="73">
        <f t="shared" ref="D111" si="23">C111-(C111*0.65)</f>
        <v>350</v>
      </c>
    </row>
    <row r="112" spans="1:4" s="53" customFormat="1" ht="24.75" thickBot="1">
      <c r="A112" s="117" t="s">
        <v>217</v>
      </c>
      <c r="B112" s="118"/>
      <c r="C112" s="115"/>
    </row>
    <row r="113" spans="1:4" s="53" customFormat="1" ht="20.25" thickBot="1">
      <c r="A113" s="70" t="s">
        <v>31</v>
      </c>
      <c r="B113" s="70" t="s">
        <v>0</v>
      </c>
      <c r="C113" s="60" t="s">
        <v>82</v>
      </c>
      <c r="D113" s="61" t="s">
        <v>83</v>
      </c>
    </row>
    <row r="114" spans="1:4" s="53" customFormat="1" ht="16.5">
      <c r="A114" s="119" t="s">
        <v>218</v>
      </c>
      <c r="B114" s="111" t="s">
        <v>219</v>
      </c>
      <c r="C114" s="99">
        <v>750</v>
      </c>
      <c r="D114" s="99" t="s">
        <v>220</v>
      </c>
    </row>
    <row r="115" spans="1:4" s="53" customFormat="1" ht="16.5">
      <c r="A115" s="76" t="s">
        <v>221</v>
      </c>
      <c r="B115" s="66" t="s">
        <v>222</v>
      </c>
      <c r="C115" s="69" t="s">
        <v>220</v>
      </c>
      <c r="D115" s="69">
        <v>100</v>
      </c>
    </row>
    <row r="116" spans="1:4" s="53" customFormat="1" ht="16.5">
      <c r="A116" s="74" t="s">
        <v>223</v>
      </c>
      <c r="B116" s="63" t="s">
        <v>224</v>
      </c>
      <c r="C116" s="65">
        <v>2500</v>
      </c>
      <c r="D116" s="65">
        <v>2500</v>
      </c>
    </row>
    <row r="117" spans="1:4" s="53" customFormat="1" ht="16.5">
      <c r="A117" s="76" t="s">
        <v>225</v>
      </c>
      <c r="B117" s="66" t="s">
        <v>226</v>
      </c>
      <c r="C117" s="69">
        <v>3500</v>
      </c>
      <c r="D117" s="69">
        <v>3500</v>
      </c>
    </row>
    <row r="118" spans="1:4" s="53" customFormat="1" ht="16.5">
      <c r="A118" s="74" t="s">
        <v>227</v>
      </c>
      <c r="B118" s="62" t="s">
        <v>228</v>
      </c>
      <c r="C118" s="65">
        <v>2995</v>
      </c>
      <c r="D118" s="65">
        <v>2995</v>
      </c>
    </row>
    <row r="119" spans="1:4" s="53" customFormat="1" ht="16.5">
      <c r="A119" s="76" t="s">
        <v>229</v>
      </c>
      <c r="B119" s="66" t="s">
        <v>230</v>
      </c>
      <c r="C119" s="69">
        <v>4950</v>
      </c>
      <c r="D119" s="69">
        <v>4950</v>
      </c>
    </row>
    <row r="120" spans="1:4" ht="33">
      <c r="A120" s="74" t="s">
        <v>231</v>
      </c>
      <c r="B120" s="62" t="s">
        <v>232</v>
      </c>
      <c r="C120" s="65">
        <v>8950</v>
      </c>
      <c r="D120" s="65">
        <v>8950</v>
      </c>
    </row>
    <row r="121" spans="1:4" ht="16.5">
      <c r="A121" s="76" t="s">
        <v>233</v>
      </c>
      <c r="B121" s="67" t="s">
        <v>234</v>
      </c>
      <c r="C121" s="69">
        <v>450</v>
      </c>
      <c r="D121" s="69">
        <v>450</v>
      </c>
    </row>
    <row r="122" spans="1:4" ht="16.5">
      <c r="A122" s="74" t="s">
        <v>235</v>
      </c>
      <c r="B122" s="63" t="s">
        <v>236</v>
      </c>
      <c r="C122" s="65">
        <v>5950</v>
      </c>
      <c r="D122" s="65">
        <v>5950</v>
      </c>
    </row>
    <row r="123" spans="1:4" ht="16.5">
      <c r="A123" s="76" t="s">
        <v>237</v>
      </c>
      <c r="B123" s="67" t="s">
        <v>238</v>
      </c>
      <c r="C123" s="69">
        <v>1950</v>
      </c>
      <c r="D123" s="69">
        <v>1950</v>
      </c>
    </row>
    <row r="124" spans="1:4" ht="16.5">
      <c r="A124" s="74" t="s">
        <v>239</v>
      </c>
      <c r="B124" s="63" t="s">
        <v>240</v>
      </c>
      <c r="C124" s="65">
        <v>9950</v>
      </c>
      <c r="D124" s="65">
        <v>9950</v>
      </c>
    </row>
    <row r="125" spans="1:4">
      <c r="D125" s="122"/>
    </row>
    <row r="126" spans="1:4">
      <c r="D126" s="122"/>
    </row>
    <row r="127" spans="1:4">
      <c r="D127" s="122"/>
    </row>
    <row r="128" spans="1:4">
      <c r="D128" s="122"/>
    </row>
    <row r="129" spans="4:4">
      <c r="D129" s="122"/>
    </row>
    <row r="130" spans="4:4">
      <c r="D130" s="122"/>
    </row>
    <row r="131" spans="4:4">
      <c r="D131" s="122"/>
    </row>
    <row r="132" spans="4:4">
      <c r="D132" s="122"/>
    </row>
    <row r="133" spans="4:4">
      <c r="D133" s="122"/>
    </row>
    <row r="134" spans="4:4">
      <c r="D134" s="122"/>
    </row>
    <row r="135" spans="4:4">
      <c r="D135" s="122"/>
    </row>
    <row r="136" spans="4:4">
      <c r="D136" s="122"/>
    </row>
    <row r="137" spans="4:4">
      <c r="D137" s="122"/>
    </row>
    <row r="138" spans="4:4">
      <c r="D138" s="122"/>
    </row>
    <row r="139" spans="4:4">
      <c r="D139" s="122"/>
    </row>
    <row r="140" spans="4:4">
      <c r="D140" s="122"/>
    </row>
    <row r="141" spans="4:4">
      <c r="D141" s="122"/>
    </row>
    <row r="142" spans="4:4">
      <c r="D142" s="122"/>
    </row>
    <row r="143" spans="4:4">
      <c r="D143" s="122"/>
    </row>
    <row r="144" spans="4:4">
      <c r="D144" s="122"/>
    </row>
    <row r="145" spans="4:4">
      <c r="D145" s="122"/>
    </row>
    <row r="146" spans="4:4">
      <c r="D146" s="122"/>
    </row>
    <row r="147" spans="4:4">
      <c r="D147" s="122"/>
    </row>
    <row r="148" spans="4:4">
      <c r="D148" s="122"/>
    </row>
    <row r="149" spans="4:4">
      <c r="D149" s="122"/>
    </row>
    <row r="150" spans="4:4">
      <c r="D150" s="122"/>
    </row>
    <row r="151" spans="4:4">
      <c r="D151" s="122"/>
    </row>
    <row r="152" spans="4:4">
      <c r="D152" s="122"/>
    </row>
    <row r="153" spans="4:4">
      <c r="D153" s="122"/>
    </row>
    <row r="154" spans="4:4">
      <c r="D154" s="122"/>
    </row>
    <row r="155" spans="4:4">
      <c r="D155" s="122"/>
    </row>
    <row r="156" spans="4:4">
      <c r="D156" s="122"/>
    </row>
    <row r="157" spans="4:4">
      <c r="D157" s="122"/>
    </row>
    <row r="158" spans="4:4">
      <c r="D158" s="122"/>
    </row>
    <row r="159" spans="4:4">
      <c r="D159" s="122"/>
    </row>
    <row r="160" spans="4:4">
      <c r="D160" s="122"/>
    </row>
    <row r="161" spans="4:4">
      <c r="D161" s="122"/>
    </row>
    <row r="162" spans="4:4">
      <c r="D162" s="122"/>
    </row>
    <row r="163" spans="4:4">
      <c r="D163" s="122"/>
    </row>
    <row r="164" spans="4:4">
      <c r="D164" s="122"/>
    </row>
    <row r="165" spans="4:4">
      <c r="D165" s="122"/>
    </row>
    <row r="166" spans="4:4">
      <c r="D166" s="122"/>
    </row>
    <row r="167" spans="4:4">
      <c r="D167" s="122"/>
    </row>
    <row r="168" spans="4:4">
      <c r="D168" s="122"/>
    </row>
    <row r="169" spans="4:4">
      <c r="D169" s="122"/>
    </row>
    <row r="170" spans="4:4">
      <c r="D170" s="122"/>
    </row>
    <row r="171" spans="4:4">
      <c r="D171" s="122"/>
    </row>
    <row r="172" spans="4:4">
      <c r="D172" s="122"/>
    </row>
    <row r="173" spans="4:4">
      <c r="D173" s="122"/>
    </row>
    <row r="174" spans="4:4">
      <c r="D174" s="122"/>
    </row>
    <row r="175" spans="4:4">
      <c r="D175" s="122"/>
    </row>
    <row r="176" spans="4:4">
      <c r="D176" s="122"/>
    </row>
    <row r="177" spans="4:4">
      <c r="D177" s="122"/>
    </row>
    <row r="178" spans="4:4">
      <c r="D178" s="122"/>
    </row>
    <row r="179" spans="4:4">
      <c r="D179" s="122"/>
    </row>
  </sheetData>
  <sheetProtection sheet="1" objects="1" scenarios="1"/>
  <mergeCells count="16">
    <mergeCell ref="A87:B87"/>
    <mergeCell ref="A89:B89"/>
    <mergeCell ref="C90:D90"/>
    <mergeCell ref="C94:D94"/>
    <mergeCell ref="A28:D28"/>
    <mergeCell ref="A29:D29"/>
    <mergeCell ref="A30:B30"/>
    <mergeCell ref="A64:B64"/>
    <mergeCell ref="A85:D85"/>
    <mergeCell ref="A86:D86"/>
    <mergeCell ref="C13:D13"/>
    <mergeCell ref="A2:D2"/>
    <mergeCell ref="A3:D3"/>
    <mergeCell ref="A4:B4"/>
    <mergeCell ref="A5:D5"/>
    <mergeCell ref="A6:B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28"/>
  <sheetViews>
    <sheetView zoomScaleNormal="100" workbookViewId="0">
      <selection activeCell="J19" sqref="J19"/>
    </sheetView>
  </sheetViews>
  <sheetFormatPr defaultRowHeight="15"/>
  <cols>
    <col min="1" max="1" width="21.85546875" customWidth="1"/>
    <col min="2" max="2" width="14.42578125" customWidth="1"/>
    <col min="3" max="3" width="39.7109375" customWidth="1"/>
    <col min="4" max="4" width="15" customWidth="1"/>
    <col min="5" max="5" width="10.140625" bestFit="1" customWidth="1"/>
    <col min="6" max="6" width="27.7109375" customWidth="1"/>
  </cols>
  <sheetData>
    <row r="1" spans="1:6" ht="44.25" customHeight="1">
      <c r="A1" s="219" t="s">
        <v>302</v>
      </c>
      <c r="B1" s="220"/>
      <c r="C1" s="220"/>
      <c r="D1" s="220"/>
      <c r="E1" s="220"/>
      <c r="F1" s="220"/>
    </row>
    <row r="2" spans="1:6" s="176" customFormat="1" ht="30">
      <c r="A2" s="175" t="s">
        <v>30</v>
      </c>
      <c r="B2" s="175" t="s">
        <v>301</v>
      </c>
      <c r="C2" s="175" t="s">
        <v>0</v>
      </c>
      <c r="D2" s="175" t="s">
        <v>1</v>
      </c>
      <c r="E2" s="175" t="s">
        <v>2</v>
      </c>
      <c r="F2" s="175" t="s">
        <v>31</v>
      </c>
    </row>
    <row r="3" spans="1:6" s="133" customFormat="1" ht="15" customHeight="1"/>
    <row r="4" spans="1:6" s="5" customFormat="1" ht="15" customHeight="1">
      <c r="A4" s="24" t="s">
        <v>43</v>
      </c>
      <c r="B4" s="160"/>
      <c r="C4" s="160"/>
      <c r="D4" s="160"/>
      <c r="E4" s="160"/>
      <c r="F4" s="160"/>
    </row>
    <row r="5" spans="1:6" s="178" customFormat="1" ht="15" customHeight="1">
      <c r="A5" s="178" t="s">
        <v>3</v>
      </c>
      <c r="B5" s="178" t="s">
        <v>33</v>
      </c>
      <c r="C5" s="179" t="s">
        <v>4</v>
      </c>
      <c r="D5" s="180" t="s">
        <v>34</v>
      </c>
      <c r="E5" s="181">
        <v>999</v>
      </c>
      <c r="F5" s="182" t="s">
        <v>32</v>
      </c>
    </row>
    <row r="6" spans="1:6" s="133" customFormat="1" ht="15" customHeight="1">
      <c r="A6" s="162" t="s">
        <v>11</v>
      </c>
      <c r="B6" s="162" t="s">
        <v>33</v>
      </c>
      <c r="C6" s="163" t="s">
        <v>47</v>
      </c>
      <c r="D6" s="177" t="s">
        <v>36</v>
      </c>
      <c r="E6" s="164">
        <v>750</v>
      </c>
      <c r="F6" s="170" t="s">
        <v>37</v>
      </c>
    </row>
    <row r="7" spans="1:6" s="178" customFormat="1" ht="15" customHeight="1">
      <c r="A7" s="178" t="s">
        <v>14</v>
      </c>
      <c r="B7" s="178" t="s">
        <v>33</v>
      </c>
      <c r="C7" s="179" t="s">
        <v>48</v>
      </c>
      <c r="D7" s="180" t="s">
        <v>36</v>
      </c>
      <c r="E7" s="181">
        <v>500</v>
      </c>
      <c r="F7" s="183" t="s">
        <v>38</v>
      </c>
    </row>
    <row r="8" spans="1:6" s="133" customFormat="1" ht="15" customHeight="1">
      <c r="A8" s="162" t="s">
        <v>35</v>
      </c>
      <c r="B8" s="162" t="s">
        <v>33</v>
      </c>
      <c r="C8" s="163" t="s">
        <v>46</v>
      </c>
      <c r="D8" s="177" t="s">
        <v>34</v>
      </c>
      <c r="E8" s="164">
        <v>395</v>
      </c>
      <c r="F8" s="171" t="s">
        <v>39</v>
      </c>
    </row>
    <row r="9" spans="1:6" s="178" customFormat="1" ht="15" customHeight="1">
      <c r="A9" s="178" t="s">
        <v>7</v>
      </c>
      <c r="B9" s="178" t="s">
        <v>33</v>
      </c>
      <c r="C9" s="179" t="s">
        <v>8</v>
      </c>
      <c r="D9" s="180" t="s">
        <v>34</v>
      </c>
      <c r="E9" s="181">
        <v>995</v>
      </c>
      <c r="F9" s="184" t="s">
        <v>40</v>
      </c>
    </row>
    <row r="10" spans="1:6" s="133" customFormat="1" ht="15" customHeight="1">
      <c r="A10" s="162" t="s">
        <v>9</v>
      </c>
      <c r="B10" s="162" t="s">
        <v>33</v>
      </c>
      <c r="C10" s="163" t="s">
        <v>10</v>
      </c>
      <c r="D10" s="177" t="s">
        <v>34</v>
      </c>
      <c r="E10" s="164">
        <v>3950</v>
      </c>
      <c r="F10" s="171" t="s">
        <v>41</v>
      </c>
    </row>
    <row r="11" spans="1:6" s="178" customFormat="1" ht="15" customHeight="1">
      <c r="A11" s="178" t="s">
        <v>294</v>
      </c>
      <c r="B11" s="178" t="s">
        <v>33</v>
      </c>
      <c r="C11" s="179" t="s">
        <v>295</v>
      </c>
      <c r="D11" s="180" t="s">
        <v>34</v>
      </c>
      <c r="E11" s="181">
        <v>395</v>
      </c>
      <c r="F11" s="184" t="s">
        <v>297</v>
      </c>
    </row>
    <row r="12" spans="1:6" s="133" customFormat="1" ht="15" customHeight="1">
      <c r="F12" s="172"/>
    </row>
    <row r="13" spans="1:6" s="27" customFormat="1" ht="15" customHeight="1">
      <c r="A13" s="24" t="s">
        <v>44</v>
      </c>
      <c r="B13" s="24"/>
      <c r="C13" s="24"/>
      <c r="D13" s="24"/>
      <c r="E13" s="24"/>
      <c r="F13" s="25"/>
    </row>
    <row r="14" spans="1:6" s="178" customFormat="1" ht="15" customHeight="1">
      <c r="A14" s="178" t="s">
        <v>3</v>
      </c>
      <c r="B14" s="178" t="s">
        <v>33</v>
      </c>
      <c r="C14" s="179" t="s">
        <v>4</v>
      </c>
      <c r="D14" s="180" t="s">
        <v>34</v>
      </c>
      <c r="E14" s="185">
        <f>E5*2.5</f>
        <v>2497.5</v>
      </c>
      <c r="F14" s="182" t="s">
        <v>288</v>
      </c>
    </row>
    <row r="15" spans="1:6" s="133" customFormat="1" ht="15" customHeight="1">
      <c r="A15" s="162" t="s">
        <v>7</v>
      </c>
      <c r="B15" s="162" t="s">
        <v>33</v>
      </c>
      <c r="C15" s="163" t="s">
        <v>8</v>
      </c>
      <c r="D15" s="177" t="s">
        <v>34</v>
      </c>
      <c r="E15" s="165">
        <f>E9*2.5</f>
        <v>2487.5</v>
      </c>
      <c r="F15" s="170" t="s">
        <v>45</v>
      </c>
    </row>
    <row r="16" spans="1:6" s="133" customFormat="1" ht="15" customHeight="1">
      <c r="C16" s="161"/>
    </row>
    <row r="17" spans="1:6" s="133" customFormat="1" ht="15" customHeight="1">
      <c r="A17" s="24" t="s">
        <v>52</v>
      </c>
      <c r="B17" s="24"/>
      <c r="C17" s="166"/>
      <c r="D17" s="24"/>
      <c r="E17" s="24"/>
      <c r="F17" s="173"/>
    </row>
    <row r="18" spans="1:6" s="178" customFormat="1" ht="15" customHeight="1">
      <c r="A18" s="178" t="s">
        <v>19</v>
      </c>
      <c r="B18" s="178" t="s">
        <v>304</v>
      </c>
      <c r="C18" s="186" t="s">
        <v>49</v>
      </c>
      <c r="F18" s="187"/>
    </row>
    <row r="19" spans="1:6" s="133" customFormat="1" ht="15" customHeight="1">
      <c r="A19" s="162" t="s">
        <v>50</v>
      </c>
      <c r="B19" s="162" t="s">
        <v>304</v>
      </c>
      <c r="C19" s="167" t="s">
        <v>51</v>
      </c>
      <c r="D19" s="162"/>
      <c r="E19" s="162"/>
      <c r="F19" s="170"/>
    </row>
    <row r="20" spans="1:6" s="5" customFormat="1" ht="15" customHeight="1">
      <c r="C20" s="168"/>
      <c r="F20" s="174"/>
    </row>
    <row r="21" spans="1:6" s="133" customFormat="1" ht="15" customHeight="1">
      <c r="A21" s="24" t="s">
        <v>53</v>
      </c>
      <c r="B21" s="24"/>
      <c r="C21" s="166"/>
      <c r="D21" s="24"/>
      <c r="E21" s="24"/>
      <c r="F21" s="173"/>
    </row>
    <row r="22" spans="1:6" s="5" customFormat="1" ht="27" customHeight="1">
      <c r="A22" s="217" t="s">
        <v>305</v>
      </c>
      <c r="B22" s="218"/>
      <c r="C22" s="218"/>
      <c r="D22" s="218"/>
      <c r="E22" s="218"/>
      <c r="F22" s="218"/>
    </row>
    <row r="23" spans="1:6" s="133" customFormat="1" ht="15" customHeight="1"/>
    <row r="24" spans="1:6" s="133" customFormat="1" ht="15" customHeight="1">
      <c r="A24" s="24" t="s">
        <v>54</v>
      </c>
      <c r="B24" s="24"/>
      <c r="C24" s="24"/>
      <c r="D24" s="24"/>
      <c r="E24" s="24"/>
      <c r="F24" s="24"/>
    </row>
    <row r="25" spans="1:6" s="133" customFormat="1" ht="15" customHeight="1">
      <c r="B25" s="159" t="s">
        <v>55</v>
      </c>
    </row>
    <row r="26" spans="1:6" s="178" customFormat="1" ht="15" customHeight="1">
      <c r="A26" s="178" t="s">
        <v>303</v>
      </c>
      <c r="B26" s="188">
        <v>0</v>
      </c>
    </row>
    <row r="27" spans="1:6" s="133" customFormat="1" ht="15" customHeight="1">
      <c r="A27" s="162" t="s">
        <v>56</v>
      </c>
      <c r="B27" s="169">
        <v>0.65</v>
      </c>
      <c r="C27" s="162"/>
      <c r="D27" s="162"/>
      <c r="E27" s="162"/>
      <c r="F27" s="162"/>
    </row>
    <row r="28" spans="1:6">
      <c r="B28" s="31"/>
    </row>
  </sheetData>
  <mergeCells count="2">
    <mergeCell ref="A22:F22"/>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Skews</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2011-05-27T19:44:59Z</cp:lastPrinted>
  <dcterms:created xsi:type="dcterms:W3CDTF">2009-12-08T19:30:22Z</dcterms:created>
  <dcterms:modified xsi:type="dcterms:W3CDTF">2011-05-31T10:26:58Z</dcterms:modified>
</cp:coreProperties>
</file>